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02" activeTab="0"/>
  </bookViews>
  <sheets>
    <sheet name="PETRÓLEO " sheetId="1" r:id="rId1"/>
  </sheets>
  <definedNames>
    <definedName name="_xlnm.Print_Area" localSheetId="0">'PETRÓLEO '!$B$4:$IS$88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<sst xmlns="http://schemas.openxmlformats.org/spreadsheetml/2006/main" count="378" uniqueCount="85">
  <si>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</si>
  <si>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</si>
  <si>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</si>
  <si>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</si>
  <si>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</si>
  <si>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</si>
  <si>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</si>
  <si>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</si>
  <si>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</si>
  <si>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</si>
  <si>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</si>
  <si>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</si>
  <si>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</si>
  <si>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</si>
  <si>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</si>
  <si>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</si>
  <si>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</si>
  <si>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</si>
  <si>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</si>
  <si>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</si>
  <si>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</si>
  <si>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</si>
  <si>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</si>
  <si>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</si>
  <si>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</si>
  <si>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</si>
  <si>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</si>
  <si>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</si>
  <si>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</si>
  <si>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</si>
  <si>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</si>
  <si>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</si>
  <si>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</si>
  <si>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</si>
  <si>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</si>
  <si>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</si>
  <si>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</si>
  <si>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</si>
  <si>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</si>
  <si>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</si>
  <si>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</si>
  <si>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</si>
  <si>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</si>
  <si>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</si>
  <si>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</si>
  <si>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</si>
  <si>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</si>
  <si>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</si>
  <si>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</si>
  <si>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</si>
  <si>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</si>
  <si>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</si>
  <si>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</si>
  <si>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</si>
  <si>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</si>
  <si>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</si>
  <si>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</si>
  <si>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</si>
  <si>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</si>
  <si>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</si>
  <si>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</si>
  <si>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</si>
  <si>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</si>
  <si>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</si>
  <si>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</si>
  <si>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</si>
  <si>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</si>
  <si>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</si>
  <si>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</si>
  <si>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</si>
  <si>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</si>
  <si>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</si>
  <si>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</si>
  <si>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</si>
  <si>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</si>
  <si>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</si>
  <si>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</si>
  <si>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</si>
  <si>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</si>
  <si>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</si>
  <si>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</si>
  <si>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</si>
  <si>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PETROTAL</t>
  </si>
  <si>
    <t>DIFERENCIA NOV 20 - OCT 20</t>
  </si>
  <si>
    <t>NOVIEMBRE 2020</t>
  </si>
</sst>
</file>

<file path=xl/styles.xml><?xml version="1.0" encoding="utf-8"?>
<styleSheet xmlns="http://schemas.openxmlformats.org/spreadsheetml/2006/main">
  <numFmts count="3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62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0.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2"/>
      <color indexed="56"/>
      <name val="Calibri"/>
      <family val="2"/>
    </font>
    <font>
      <b/>
      <sz val="12"/>
      <name val="Calibri"/>
      <family val="2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/>
      <top/>
      <bottom/>
    </border>
    <border>
      <left/>
      <right style="double"/>
      <top style="double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 style="double"/>
      <top/>
      <bottom/>
    </border>
    <border>
      <left style="double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3" fontId="23" fillId="33" borderId="0" xfId="0" applyNumberFormat="1" applyFont="1" applyFill="1" applyAlignment="1">
      <alignment/>
    </xf>
    <xf numFmtId="17" fontId="23" fillId="33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4" fontId="23" fillId="33" borderId="0" xfId="0" applyNumberFormat="1" applyFont="1" applyFill="1" applyAlignment="1">
      <alignment/>
    </xf>
    <xf numFmtId="4" fontId="25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17" fontId="23" fillId="33" borderId="0" xfId="0" applyNumberFormat="1" applyFont="1" applyFill="1" applyAlignment="1">
      <alignment/>
    </xf>
    <xf numFmtId="17" fontId="27" fillId="33" borderId="0" xfId="0" applyNumberFormat="1" applyFont="1" applyFill="1" applyAlignment="1">
      <alignment/>
    </xf>
    <xf numFmtId="14" fontId="23" fillId="33" borderId="0" xfId="0" applyNumberFormat="1" applyFont="1" applyFill="1" applyAlignment="1">
      <alignment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/>
    </xf>
    <xf numFmtId="17" fontId="23" fillId="0" borderId="0" xfId="0" applyNumberFormat="1" applyFont="1" applyAlignment="1">
      <alignment horizontal="center"/>
    </xf>
    <xf numFmtId="3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/>
    </xf>
    <xf numFmtId="3" fontId="25" fillId="33" borderId="10" xfId="0" applyNumberFormat="1" applyFont="1" applyFill="1" applyBorder="1" applyAlignment="1" quotePrefix="1">
      <alignment horizontal="center" vertical="center" wrapText="1"/>
    </xf>
    <xf numFmtId="3" fontId="25" fillId="34" borderId="10" xfId="0" applyNumberFormat="1" applyFont="1" applyFill="1" applyBorder="1" applyAlignment="1">
      <alignment vertical="center" wrapText="1"/>
    </xf>
    <xf numFmtId="0" fontId="28" fillId="33" borderId="0" xfId="0" applyFont="1" applyFill="1" applyBorder="1" applyAlignment="1">
      <alignment horizontal="center"/>
    </xf>
    <xf numFmtId="2" fontId="25" fillId="33" borderId="0" xfId="0" applyNumberFormat="1" applyFont="1" applyFill="1" applyAlignment="1">
      <alignment horizontal="center"/>
    </xf>
    <xf numFmtId="9" fontId="25" fillId="33" borderId="0" xfId="53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7" borderId="13" xfId="0" applyFont="1" applyFill="1" applyBorder="1" applyAlignment="1">
      <alignment vertical="center" wrapText="1"/>
    </xf>
    <xf numFmtId="3" fontId="25" fillId="35" borderId="10" xfId="0" applyNumberFormat="1" applyFont="1" applyFill="1" applyBorder="1" applyAlignment="1">
      <alignment vertical="center" wrapText="1"/>
    </xf>
    <xf numFmtId="3" fontId="25" fillId="35" borderId="10" xfId="0" applyNumberFormat="1" applyFont="1" applyFill="1" applyBorder="1" applyAlignment="1">
      <alignment horizontal="center" vertical="center" wrapText="1"/>
    </xf>
    <xf numFmtId="192" fontId="25" fillId="35" borderId="10" xfId="0" applyNumberFormat="1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2" borderId="13" xfId="0" applyFont="1" applyFill="1" applyBorder="1" applyAlignment="1">
      <alignment vertical="center" wrapText="1"/>
    </xf>
    <xf numFmtId="3" fontId="25" fillId="12" borderId="10" xfId="0" applyNumberFormat="1" applyFont="1" applyFill="1" applyBorder="1" applyAlignment="1">
      <alignment vertical="center" wrapText="1"/>
    </xf>
    <xf numFmtId="3" fontId="25" fillId="12" borderId="10" xfId="0" applyNumberFormat="1" applyFont="1" applyFill="1" applyBorder="1" applyAlignment="1">
      <alignment horizontal="center" vertical="center" wrapText="1"/>
    </xf>
    <xf numFmtId="192" fontId="25" fillId="12" borderId="10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3" fontId="25" fillId="34" borderId="10" xfId="0" applyNumberFormat="1" applyFont="1" applyFill="1" applyBorder="1" applyAlignment="1">
      <alignment horizontal="center" vertical="center" wrapText="1"/>
    </xf>
    <xf numFmtId="192" fontId="25" fillId="34" borderId="10" xfId="0" applyNumberFormat="1" applyFont="1" applyFill="1" applyBorder="1" applyAlignment="1">
      <alignment horizontal="center" vertical="center" wrapText="1"/>
    </xf>
    <xf numFmtId="2" fontId="25" fillId="33" borderId="0" xfId="53" applyNumberFormat="1" applyFont="1" applyFill="1" applyAlignment="1">
      <alignment horizontal="center"/>
    </xf>
    <xf numFmtId="2" fontId="25" fillId="33" borderId="0" xfId="53" applyNumberFormat="1" applyFont="1" applyFill="1" applyBorder="1" applyAlignment="1">
      <alignment horizontal="center"/>
    </xf>
    <xf numFmtId="0" fontId="58" fillId="4" borderId="15" xfId="0" applyFont="1" applyFill="1" applyBorder="1" applyAlignment="1">
      <alignment vertical="center" wrapText="1"/>
    </xf>
    <xf numFmtId="0" fontId="58" fillId="33" borderId="16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192" fontId="25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7" fontId="25" fillId="33" borderId="0" xfId="0" applyNumberFormat="1" applyFont="1" applyFill="1" applyAlignment="1">
      <alignment horizontal="center" vertical="center"/>
    </xf>
    <xf numFmtId="3" fontId="25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2" fontId="25" fillId="33" borderId="0" xfId="53" applyNumberFormat="1" applyFont="1" applyFill="1" applyAlignment="1" quotePrefix="1">
      <alignment horizontal="center"/>
    </xf>
    <xf numFmtId="3" fontId="25" fillId="36" borderId="17" xfId="0" applyNumberFormat="1" applyFont="1" applyFill="1" applyBorder="1" applyAlignment="1">
      <alignment horizontal="center" vertical="center"/>
    </xf>
    <xf numFmtId="3" fontId="25" fillId="37" borderId="17" xfId="0" applyNumberFormat="1" applyFont="1" applyFill="1" applyBorder="1" applyAlignment="1">
      <alignment horizontal="center" vertical="center"/>
    </xf>
    <xf numFmtId="3" fontId="25" fillId="37" borderId="18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1" fontId="59" fillId="38" borderId="20" xfId="0" applyNumberFormat="1" applyFont="1" applyFill="1" applyBorder="1" applyAlignment="1">
      <alignment vertical="center" wrapText="1"/>
    </xf>
    <xf numFmtId="1" fontId="59" fillId="38" borderId="21" xfId="0" applyNumberFormat="1" applyFont="1" applyFill="1" applyBorder="1" applyAlignment="1">
      <alignment vertical="center" wrapText="1"/>
    </xf>
    <xf numFmtId="0" fontId="60" fillId="38" borderId="10" xfId="0" applyFont="1" applyFill="1" applyBorder="1" applyAlignment="1">
      <alignment horizontal="center" vertical="center"/>
    </xf>
    <xf numFmtId="0" fontId="60" fillId="38" borderId="10" xfId="0" applyFont="1" applyFill="1" applyBorder="1" applyAlignment="1">
      <alignment horizontal="center" vertical="center" wrapText="1"/>
    </xf>
    <xf numFmtId="3" fontId="60" fillId="38" borderId="10" xfId="0" applyNumberFormat="1" applyFont="1" applyFill="1" applyBorder="1" applyAlignment="1">
      <alignment horizontal="center" vertical="center" wrapText="1"/>
    </xf>
    <xf numFmtId="3" fontId="60" fillId="38" borderId="22" xfId="0" applyNumberFormat="1" applyFont="1" applyFill="1" applyBorder="1" applyAlignment="1">
      <alignment horizontal="center" vertical="center" wrapText="1"/>
    </xf>
    <xf numFmtId="3" fontId="61" fillId="39" borderId="10" xfId="0" applyNumberFormat="1" applyFont="1" applyFill="1" applyBorder="1" applyAlignment="1">
      <alignment vertical="center" wrapText="1"/>
    </xf>
    <xf numFmtId="3" fontId="61" fillId="39" borderId="10" xfId="0" applyNumberFormat="1" applyFont="1" applyFill="1" applyBorder="1" applyAlignment="1">
      <alignment horizontal="center" vertical="center" wrapText="1"/>
    </xf>
    <xf numFmtId="3" fontId="23" fillId="33" borderId="0" xfId="0" applyNumberFormat="1" applyFont="1" applyFill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58" fillId="33" borderId="0" xfId="0" applyFont="1" applyFill="1" applyBorder="1" applyAlignment="1">
      <alignment horizontal="center" vertical="center" wrapText="1"/>
    </xf>
    <xf numFmtId="192" fontId="23" fillId="33" borderId="0" xfId="0" applyNumberFormat="1" applyFont="1" applyFill="1" applyAlignment="1">
      <alignment/>
    </xf>
    <xf numFmtId="3" fontId="25" fillId="0" borderId="10" xfId="0" applyNumberFormat="1" applyFont="1" applyFill="1" applyBorder="1" applyAlignment="1">
      <alignment horizontal="center" vertical="center" wrapText="1"/>
    </xf>
    <xf numFmtId="0" fontId="37" fillId="38" borderId="10" xfId="0" applyFont="1" applyFill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24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62" fillId="12" borderId="10" xfId="0" applyFont="1" applyFill="1" applyBorder="1" applyAlignment="1">
      <alignment horizontal="center" vertical="center" wrapText="1"/>
    </xf>
    <xf numFmtId="3" fontId="25" fillId="33" borderId="10" xfId="0" applyNumberFormat="1" applyFont="1" applyFill="1" applyBorder="1" applyAlignment="1">
      <alignment vertical="center" wrapText="1"/>
    </xf>
    <xf numFmtId="1" fontId="25" fillId="0" borderId="14" xfId="0" applyNumberFormat="1" applyFont="1" applyFill="1" applyBorder="1" applyAlignment="1">
      <alignment horizontal="center" vertical="center"/>
    </xf>
    <xf numFmtId="1" fontId="25" fillId="0" borderId="15" xfId="0" applyNumberFormat="1" applyFont="1" applyFill="1" applyBorder="1" applyAlignment="1">
      <alignment horizontal="center" vertical="center"/>
    </xf>
    <xf numFmtId="1" fontId="25" fillId="0" borderId="25" xfId="0" applyNumberFormat="1" applyFont="1" applyFill="1" applyBorder="1" applyAlignment="1">
      <alignment horizontal="center" vertical="center"/>
    </xf>
    <xf numFmtId="0" fontId="61" fillId="39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 wrapText="1"/>
    </xf>
    <xf numFmtId="1" fontId="59" fillId="38" borderId="10" xfId="0" applyNumberFormat="1" applyFont="1" applyFill="1" applyBorder="1" applyAlignment="1">
      <alignment horizontal="center" vertical="center"/>
    </xf>
    <xf numFmtId="3" fontId="25" fillId="40" borderId="17" xfId="0" applyNumberFormat="1" applyFont="1" applyFill="1" applyBorder="1" applyAlignment="1">
      <alignment horizontal="center" vertical="center"/>
    </xf>
    <xf numFmtId="3" fontId="25" fillId="40" borderId="18" xfId="0" applyNumberFormat="1" applyFont="1" applyFill="1" applyBorder="1" applyAlignment="1">
      <alignment horizontal="center" vertical="center"/>
    </xf>
    <xf numFmtId="3" fontId="25" fillId="40" borderId="26" xfId="0" applyNumberFormat="1" applyFont="1" applyFill="1" applyBorder="1" applyAlignment="1">
      <alignment horizontal="center" vertical="center"/>
    </xf>
    <xf numFmtId="1" fontId="25" fillId="10" borderId="14" xfId="0" applyNumberFormat="1" applyFont="1" applyFill="1" applyBorder="1" applyAlignment="1">
      <alignment horizontal="center" vertical="center"/>
    </xf>
    <xf numFmtId="1" fontId="25" fillId="10" borderId="15" xfId="0" applyNumberFormat="1" applyFont="1" applyFill="1" applyBorder="1" applyAlignment="1">
      <alignment horizontal="center" vertical="center"/>
    </xf>
    <xf numFmtId="1" fontId="25" fillId="10" borderId="25" xfId="0" applyNumberFormat="1" applyFont="1" applyFill="1" applyBorder="1" applyAlignment="1">
      <alignment horizontal="center" vertical="center"/>
    </xf>
    <xf numFmtId="3" fontId="25" fillId="37" borderId="18" xfId="0" applyNumberFormat="1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/>
    </xf>
    <xf numFmtId="0" fontId="25" fillId="33" borderId="28" xfId="0" applyFont="1" applyFill="1" applyBorder="1" applyAlignment="1">
      <alignment horizontal="center"/>
    </xf>
    <xf numFmtId="0" fontId="58" fillId="33" borderId="29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/>
    </xf>
    <xf numFmtId="3" fontId="25" fillId="41" borderId="17" xfId="0" applyNumberFormat="1" applyFont="1" applyFill="1" applyBorder="1" applyAlignment="1">
      <alignment horizontal="center" vertical="center"/>
    </xf>
    <xf numFmtId="3" fontId="25" fillId="41" borderId="18" xfId="0" applyNumberFormat="1" applyFont="1" applyFill="1" applyBorder="1" applyAlignment="1">
      <alignment horizontal="center" vertical="center"/>
    </xf>
    <xf numFmtId="3" fontId="25" fillId="42" borderId="17" xfId="0" applyNumberFormat="1" applyFont="1" applyFill="1" applyBorder="1" applyAlignment="1">
      <alignment horizontal="center" vertical="center"/>
    </xf>
    <xf numFmtId="3" fontId="25" fillId="42" borderId="18" xfId="0" applyNumberFormat="1" applyFont="1" applyFill="1" applyBorder="1" applyAlignment="1">
      <alignment horizontal="center" vertical="center"/>
    </xf>
    <xf numFmtId="3" fontId="25" fillId="36" borderId="10" xfId="0" applyNumberFormat="1" applyFont="1" applyFill="1" applyBorder="1" applyAlignment="1">
      <alignment horizontal="center" vertical="center"/>
    </xf>
    <xf numFmtId="3" fontId="25" fillId="36" borderId="18" xfId="0" applyNumberFormat="1" applyFont="1" applyFill="1" applyBorder="1" applyAlignment="1">
      <alignment horizontal="center" vertical="center"/>
    </xf>
    <xf numFmtId="1" fontId="59" fillId="38" borderId="21" xfId="0" applyNumberFormat="1" applyFont="1" applyFill="1" applyBorder="1" applyAlignment="1">
      <alignment horizontal="center" vertical="center" wrapText="1"/>
    </xf>
    <xf numFmtId="1" fontId="59" fillId="38" borderId="22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/>
    </xf>
    <xf numFmtId="3" fontId="25" fillId="43" borderId="17" xfId="0" applyNumberFormat="1" applyFont="1" applyFill="1" applyBorder="1" applyAlignment="1">
      <alignment horizontal="center" vertical="center"/>
    </xf>
    <xf numFmtId="3" fontId="25" fillId="43" borderId="18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1" fontId="60" fillId="38" borderId="10" xfId="0" applyNumberFormat="1" applyFont="1" applyFill="1" applyBorder="1" applyAlignment="1">
      <alignment horizontal="center" vertical="center" wrapText="1"/>
    </xf>
    <xf numFmtId="49" fontId="34" fillId="33" borderId="0" xfId="0" applyNumberFormat="1" applyFont="1" applyFill="1" applyBorder="1" applyAlignment="1">
      <alignment horizontal="center"/>
    </xf>
    <xf numFmtId="49" fontId="34" fillId="33" borderId="0" xfId="0" applyNumberFormat="1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 wrapText="1"/>
    </xf>
    <xf numFmtId="1" fontId="60" fillId="38" borderId="20" xfId="0" applyNumberFormat="1" applyFont="1" applyFill="1" applyBorder="1" applyAlignment="1">
      <alignment horizontal="center" vertical="center" wrapText="1"/>
    </xf>
    <xf numFmtId="1" fontId="60" fillId="38" borderId="21" xfId="0" applyNumberFormat="1" applyFont="1" applyFill="1" applyBorder="1" applyAlignment="1">
      <alignment horizontal="center" vertical="center" wrapText="1"/>
    </xf>
    <xf numFmtId="1" fontId="60" fillId="38" borderId="22" xfId="0" applyNumberFormat="1" applyFont="1" applyFill="1" applyBorder="1" applyAlignment="1">
      <alignment horizontal="center" vertical="center" wrapText="1"/>
    </xf>
    <xf numFmtId="3" fontId="25" fillId="44" borderId="30" xfId="0" applyNumberFormat="1" applyFont="1" applyFill="1" applyBorder="1" applyAlignment="1">
      <alignment horizontal="center" vertical="center"/>
    </xf>
    <xf numFmtId="3" fontId="25" fillId="44" borderId="18" xfId="0" applyNumberFormat="1" applyFont="1" applyFill="1" applyBorder="1" applyAlignment="1">
      <alignment horizontal="center" vertical="center"/>
    </xf>
    <xf numFmtId="1" fontId="57" fillId="45" borderId="14" xfId="0" applyNumberFormat="1" applyFont="1" applyFill="1" applyBorder="1" applyAlignment="1">
      <alignment horizontal="center" vertical="center"/>
    </xf>
    <xf numFmtId="1" fontId="57" fillId="45" borderId="15" xfId="0" applyNumberFormat="1" applyFont="1" applyFill="1" applyBorder="1" applyAlignment="1">
      <alignment horizontal="center" vertical="center"/>
    </xf>
    <xf numFmtId="1" fontId="57" fillId="45" borderId="25" xfId="0" applyNumberFormat="1" applyFont="1" applyFill="1" applyBorder="1" applyAlignment="1">
      <alignment horizontal="center" vertical="center"/>
    </xf>
    <xf numFmtId="1" fontId="59" fillId="38" borderId="14" xfId="0" applyNumberFormat="1" applyFont="1" applyFill="1" applyBorder="1" applyAlignment="1">
      <alignment horizontal="center" vertical="center"/>
    </xf>
    <xf numFmtId="1" fontId="59" fillId="38" borderId="15" xfId="0" applyNumberFormat="1" applyFont="1" applyFill="1" applyBorder="1" applyAlignment="1">
      <alignment horizontal="center" vertical="center"/>
    </xf>
    <xf numFmtId="3" fontId="25" fillId="46" borderId="17" xfId="0" applyNumberFormat="1" applyFont="1" applyFill="1" applyBorder="1" applyAlignment="1">
      <alignment horizontal="center" vertical="center"/>
    </xf>
    <xf numFmtId="3" fontId="25" fillId="46" borderId="18" xfId="0" applyNumberFormat="1" applyFont="1" applyFill="1" applyBorder="1" applyAlignment="1">
      <alignment horizontal="center" vertical="center"/>
    </xf>
    <xf numFmtId="3" fontId="25" fillId="46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9"/>
          <c:w val="0.97675"/>
          <c:h val="0.86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'!$IF$1:$IR$1</c:f>
              <c:strCache/>
            </c:strRef>
          </c:cat>
          <c:val>
            <c:numRef>
              <c:f>'PETRÓLEO '!$IF$42:$IR$42</c:f>
              <c:numCache/>
            </c:numRef>
          </c:val>
          <c:shape val="cylinder"/>
        </c:ser>
        <c:shape val="cylinder"/>
        <c:axId val="40401164"/>
        <c:axId val="63603821"/>
      </c:bar3DChart>
      <c:dateAx>
        <c:axId val="40401164"/>
        <c:scaling>
          <c:orientation val="minMax"/>
          <c:max val="44136"/>
          <c:min val="43770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360382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36038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3075"/>
              <c:y val="-0.43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4011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0.03025</cdr:y>
    </cdr:from>
    <cdr:to>
      <cdr:x>0.7055</cdr:x>
      <cdr:y>0.0975</cdr:y>
    </cdr:to>
    <cdr:sp fLocksText="0">
      <cdr:nvSpPr>
        <cdr:cNvPr id="1" name="CuadroTexto 1"/>
        <cdr:cNvSpPr txBox="1">
          <a:spLocks noChangeArrowheads="1"/>
        </cdr:cNvSpPr>
      </cdr:nvSpPr>
      <cdr:spPr>
        <a:xfrm>
          <a:off x="3790950" y="190500"/>
          <a:ext cx="45815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0.225</cdr:x>
      <cdr:y>0.0055</cdr:y>
    </cdr:from>
    <cdr:to>
      <cdr:x>0.76025</cdr:x>
      <cdr:y>0.11525</cdr:y>
    </cdr:to>
    <cdr:sp>
      <cdr:nvSpPr>
        <cdr:cNvPr id="2" name="CuadroTexto 2"/>
        <cdr:cNvSpPr txBox="1">
          <a:spLocks noChangeArrowheads="1"/>
        </cdr:cNvSpPr>
      </cdr:nvSpPr>
      <cdr:spPr>
        <a:xfrm>
          <a:off x="2667000" y="28575"/>
          <a:ext cx="63531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PRODUCCIÓN MENSUAL PROMEDIO DE PETRÓLEO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(Barriles Por Día)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051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238</xdr:col>
      <xdr:colOff>457200</xdr:colOff>
      <xdr:row>44</xdr:row>
      <xdr:rowOff>114300</xdr:rowOff>
    </xdr:from>
    <xdr:to>
      <xdr:col>249</xdr:col>
      <xdr:colOff>485775</xdr:colOff>
      <xdr:row>85</xdr:row>
      <xdr:rowOff>19050</xdr:rowOff>
    </xdr:to>
    <xdr:graphicFrame>
      <xdr:nvGraphicFramePr>
        <xdr:cNvPr id="2" name="1 Gráfico"/>
        <xdr:cNvGraphicFramePr/>
      </xdr:nvGraphicFramePr>
      <xdr:xfrm>
        <a:off x="2209800" y="8905875"/>
        <a:ext cx="118776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7"/>
  <sheetViews>
    <sheetView tabSelected="1" view="pageBreakPreview" zoomScale="70" zoomScaleNormal="70" zoomScaleSheetLayoutView="70" zoomScalePageLayoutView="0" workbookViewId="0" topLeftCell="C1">
      <pane xSplit="212" ySplit="10" topLeftCell="HG11" activePane="bottomRight" state="frozen"/>
      <selection pane="topLeft" activeCell="C1" sqref="C1"/>
      <selection pane="topRight" activeCell="HG1" sqref="HG1"/>
      <selection pane="bottomLeft" activeCell="C11" sqref="C11"/>
      <selection pane="bottomRight" activeCell="IT7" sqref="IT7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18" width="15.7109375" style="1" hidden="1" customWidth="1"/>
    <col min="219" max="223" width="17.421875" style="1" hidden="1" customWidth="1"/>
    <col min="224" max="224" width="17.421875" style="55" hidden="1" customWidth="1"/>
    <col min="225" max="229" width="17.421875" style="1" hidden="1" customWidth="1"/>
    <col min="230" max="237" width="16.140625" style="1" hidden="1" customWidth="1"/>
    <col min="238" max="238" width="0.13671875" style="1" hidden="1" customWidth="1"/>
    <col min="239" max="239" width="16.140625" style="1" hidden="1" customWidth="1"/>
    <col min="240" max="243" width="16.140625" style="1" customWidth="1"/>
    <col min="244" max="244" width="17.00390625" style="1" customWidth="1"/>
    <col min="245" max="245" width="17.57421875" style="1" customWidth="1"/>
    <col min="246" max="246" width="18.140625" style="1" customWidth="1"/>
    <col min="247" max="247" width="18.7109375" style="1" customWidth="1"/>
    <col min="248" max="248" width="17.8515625" style="1" customWidth="1"/>
    <col min="249" max="249" width="17.00390625" style="1" customWidth="1"/>
    <col min="250" max="250" width="17.28125" style="1" customWidth="1"/>
    <col min="251" max="253" width="16.57421875" style="1" customWidth="1"/>
    <col min="254" max="16384" width="11.421875" style="1" customWidth="1"/>
  </cols>
  <sheetData>
    <row r="1" spans="4:256" s="5" customFormat="1" ht="12.75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6">
        <v>43617</v>
      </c>
      <c r="IB1" s="16">
        <v>43647</v>
      </c>
      <c r="IC1" s="16">
        <v>43678</v>
      </c>
      <c r="ID1" s="16">
        <v>43709</v>
      </c>
      <c r="IE1" s="16">
        <v>43739</v>
      </c>
      <c r="IF1" s="16">
        <v>43770</v>
      </c>
      <c r="IG1" s="16">
        <v>43800</v>
      </c>
      <c r="IH1" s="16">
        <v>43831</v>
      </c>
      <c r="II1" s="16">
        <v>43862</v>
      </c>
      <c r="IJ1" s="16">
        <v>43891</v>
      </c>
      <c r="IK1" s="16">
        <v>43922</v>
      </c>
      <c r="IL1" s="16">
        <v>43952</v>
      </c>
      <c r="IM1" s="16">
        <v>43983</v>
      </c>
      <c r="IN1" s="16">
        <v>44013</v>
      </c>
      <c r="IO1" s="16">
        <v>44044</v>
      </c>
      <c r="IP1" s="16">
        <v>44075</v>
      </c>
      <c r="IQ1" s="16">
        <v>44105</v>
      </c>
      <c r="IR1" s="16">
        <v>44136</v>
      </c>
      <c r="IS1" s="1"/>
      <c r="IT1" s="1"/>
      <c r="IU1" s="1"/>
      <c r="IV1" s="1"/>
    </row>
    <row r="2" spans="4:256" s="5" customFormat="1" ht="12.75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9" ht="18.7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22"/>
      <c r="HR4" s="22"/>
      <c r="HS4" s="22"/>
      <c r="HT4" s="22"/>
      <c r="HU4" s="22"/>
    </row>
    <row r="5" spans="1:252" ht="21" customHeight="1">
      <c r="A5" s="119" t="s">
        <v>80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</row>
    <row r="6" spans="1:252" ht="18" customHeight="1">
      <c r="A6" s="118" t="s">
        <v>84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</row>
    <row r="7" spans="1:252" ht="21">
      <c r="A7" s="117" t="s">
        <v>79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</row>
    <row r="8" spans="3:224" ht="16.5" thickBot="1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Bot="1" thickTop="1">
      <c r="A9" s="6"/>
      <c r="B9" s="6"/>
      <c r="C9" s="98"/>
      <c r="D9" s="99"/>
      <c r="E9" s="107">
        <v>1999</v>
      </c>
      <c r="F9" s="107"/>
      <c r="G9" s="107"/>
      <c r="H9" s="107"/>
      <c r="I9" s="107"/>
      <c r="J9" s="107"/>
      <c r="K9" s="107"/>
      <c r="L9" s="107"/>
      <c r="M9" s="59">
        <v>2000</v>
      </c>
      <c r="N9" s="108" t="s">
        <v>34</v>
      </c>
      <c r="O9" s="108"/>
      <c r="P9" s="108"/>
      <c r="Q9" s="108"/>
      <c r="R9" s="108"/>
      <c r="S9" s="108"/>
      <c r="T9" s="108"/>
      <c r="U9" s="60">
        <v>2001</v>
      </c>
      <c r="V9" s="61"/>
      <c r="W9" s="61"/>
      <c r="X9" s="61"/>
      <c r="Y9" s="61"/>
      <c r="Z9" s="61"/>
      <c r="AA9" s="61"/>
      <c r="AB9" s="96">
        <v>2001</v>
      </c>
      <c r="AC9" s="96"/>
      <c r="AD9" s="96"/>
      <c r="AE9" s="96"/>
      <c r="AF9" s="96"/>
      <c r="AG9" s="130">
        <v>2002</v>
      </c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2"/>
      <c r="AS9" s="112">
        <v>2003</v>
      </c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05">
        <v>2004</v>
      </c>
      <c r="BF9" s="106"/>
      <c r="BG9" s="106"/>
      <c r="BH9" s="106"/>
      <c r="BI9" s="106"/>
      <c r="BJ9" s="106"/>
      <c r="BK9" s="106"/>
      <c r="BL9" s="106"/>
      <c r="BM9" s="106"/>
      <c r="BN9" s="106"/>
      <c r="BO9" s="90">
        <v>2005</v>
      </c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2"/>
      <c r="CA9" s="103">
        <v>2006</v>
      </c>
      <c r="CB9" s="104"/>
      <c r="CC9" s="104"/>
      <c r="CD9" s="104"/>
      <c r="CE9" s="104"/>
      <c r="CF9" s="104"/>
      <c r="CG9" s="104"/>
      <c r="CH9" s="104"/>
      <c r="CI9" s="104"/>
      <c r="CJ9" s="104"/>
      <c r="CK9" s="123">
        <v>2007</v>
      </c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14">
        <v>2008</v>
      </c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4">
        <v>2009</v>
      </c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1">
        <v>2010</v>
      </c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62">
        <v>2011</v>
      </c>
      <c r="EH9" s="62"/>
      <c r="EI9" s="62"/>
      <c r="EJ9" s="62"/>
      <c r="EK9" s="62"/>
      <c r="EL9" s="62"/>
      <c r="EM9" s="84">
        <v>2011</v>
      </c>
      <c r="EN9" s="85"/>
      <c r="EO9" s="86"/>
      <c r="EP9" s="93">
        <v>2012</v>
      </c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5"/>
      <c r="FB9" s="125">
        <v>2013</v>
      </c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7"/>
      <c r="FN9" s="128">
        <v>2014</v>
      </c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89">
        <v>2015</v>
      </c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109">
        <v>2016</v>
      </c>
      <c r="GW9" s="110"/>
      <c r="GX9" s="116">
        <v>2017</v>
      </c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20">
        <v>2018</v>
      </c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2"/>
      <c r="HV9" s="76">
        <v>2019</v>
      </c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>
        <v>2020</v>
      </c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1"/>
      <c r="IT9" s="1"/>
      <c r="IU9" s="1"/>
      <c r="IV9" s="1"/>
    </row>
    <row r="10" spans="1:256" s="5" customFormat="1" ht="54.75" customHeight="1" thickBot="1" thickTop="1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59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54</v>
      </c>
      <c r="HY10" s="68" t="s">
        <v>55</v>
      </c>
      <c r="HZ10" s="68" t="s">
        <v>56</v>
      </c>
      <c r="IA10" s="68" t="s">
        <v>57</v>
      </c>
      <c r="IB10" s="68" t="s">
        <v>58</v>
      </c>
      <c r="IC10" s="68" t="s">
        <v>59</v>
      </c>
      <c r="ID10" s="68" t="s">
        <v>65</v>
      </c>
      <c r="IE10" s="68" t="s">
        <v>61</v>
      </c>
      <c r="IF10" s="68" t="s">
        <v>62</v>
      </c>
      <c r="IG10" s="68" t="s">
        <v>63</v>
      </c>
      <c r="IH10" s="68" t="s">
        <v>52</v>
      </c>
      <c r="II10" s="68" t="s">
        <v>53</v>
      </c>
      <c r="IJ10" s="68" t="s">
        <v>54</v>
      </c>
      <c r="IK10" s="68" t="s">
        <v>55</v>
      </c>
      <c r="IL10" s="68" t="s">
        <v>56</v>
      </c>
      <c r="IM10" s="68" t="s">
        <v>57</v>
      </c>
      <c r="IN10" s="68" t="s">
        <v>58</v>
      </c>
      <c r="IO10" s="68" t="s">
        <v>59</v>
      </c>
      <c r="IP10" s="68" t="s">
        <v>65</v>
      </c>
      <c r="IQ10" s="68" t="s">
        <v>61</v>
      </c>
      <c r="IR10" s="68" t="s">
        <v>62</v>
      </c>
      <c r="IS10" s="68" t="s">
        <v>83</v>
      </c>
      <c r="IT10" s="1"/>
      <c r="IU10" s="1"/>
      <c r="IV10" s="1"/>
    </row>
    <row r="11" spans="1:256" s="5" customFormat="1" ht="16.5" customHeight="1" thickTop="1">
      <c r="A11" s="78" t="s">
        <v>68</v>
      </c>
      <c r="B11" s="79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</v>
      </c>
      <c r="GU11" s="17">
        <v>1023.0967741935484</v>
      </c>
      <c r="GV11" s="17">
        <v>988.9</v>
      </c>
      <c r="GW11" s="17">
        <v>954.1935483870968</v>
      </c>
      <c r="GX11" s="17">
        <v>921.3548387096774</v>
      </c>
      <c r="GY11" s="17">
        <v>887.4642857142857</v>
      </c>
      <c r="GZ11" s="17">
        <v>851.483870967742</v>
      </c>
      <c r="HA11" s="17">
        <v>854.7666666666667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75">
        <v>596</v>
      </c>
      <c r="HY11" s="75">
        <v>694.86</v>
      </c>
      <c r="HZ11" s="75">
        <v>664.8709677419355</v>
      </c>
      <c r="IA11" s="75">
        <v>602</v>
      </c>
      <c r="IB11" s="75">
        <v>649.8709677419355</v>
      </c>
      <c r="IC11" s="75">
        <v>691.9677419354839</v>
      </c>
      <c r="ID11" s="75">
        <v>636.4</v>
      </c>
      <c r="IE11" s="75">
        <v>649.2258064516129</v>
      </c>
      <c r="IF11" s="75">
        <v>643.8333333333334</v>
      </c>
      <c r="IG11" s="17">
        <v>658</v>
      </c>
      <c r="IH11" s="17">
        <v>640</v>
      </c>
      <c r="II11" s="17">
        <v>635</v>
      </c>
      <c r="IJ11" s="17">
        <v>635</v>
      </c>
      <c r="IK11" s="17">
        <v>606</v>
      </c>
      <c r="IL11" s="17">
        <v>584</v>
      </c>
      <c r="IM11" s="17">
        <v>597</v>
      </c>
      <c r="IN11" s="17">
        <v>613</v>
      </c>
      <c r="IO11" s="17">
        <v>586</v>
      </c>
      <c r="IP11" s="17">
        <v>614</v>
      </c>
      <c r="IQ11" s="17">
        <v>574</v>
      </c>
      <c r="IR11" s="17">
        <v>587</v>
      </c>
      <c r="IS11" s="17">
        <f>+IR11-IQ11</f>
        <v>13</v>
      </c>
      <c r="IT11" s="1"/>
      <c r="IU11" s="1"/>
      <c r="IV11" s="1"/>
    </row>
    <row r="12" spans="1:256" s="5" customFormat="1" ht="16.5" customHeight="1">
      <c r="A12" s="100"/>
      <c r="B12" s="80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339.7741935483871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318.3225806451613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</v>
      </c>
      <c r="HX12" s="75">
        <v>291</v>
      </c>
      <c r="HY12" s="75">
        <v>310</v>
      </c>
      <c r="HZ12" s="75">
        <v>295.64516129032256</v>
      </c>
      <c r="IA12" s="75">
        <v>299</v>
      </c>
      <c r="IB12" s="75">
        <v>320.38709677419354</v>
      </c>
      <c r="IC12" s="75">
        <v>312.0967741935484</v>
      </c>
      <c r="ID12" s="75">
        <v>352.6666666666667</v>
      </c>
      <c r="IE12" s="75">
        <v>407.7741935483871</v>
      </c>
      <c r="IF12" s="75">
        <v>393.43333333333334</v>
      </c>
      <c r="IG12" s="17">
        <v>368</v>
      </c>
      <c r="IH12" s="17">
        <v>363</v>
      </c>
      <c r="II12" s="17">
        <v>365</v>
      </c>
      <c r="IJ12" s="17">
        <v>373</v>
      </c>
      <c r="IK12" s="17">
        <v>361</v>
      </c>
      <c r="IL12" s="17">
        <v>315</v>
      </c>
      <c r="IM12" s="17">
        <v>432</v>
      </c>
      <c r="IN12" s="17">
        <v>465</v>
      </c>
      <c r="IO12" s="17">
        <v>439</v>
      </c>
      <c r="IP12" s="17">
        <v>410</v>
      </c>
      <c r="IQ12" s="17">
        <v>418</v>
      </c>
      <c r="IR12" s="17">
        <v>404</v>
      </c>
      <c r="IS12" s="17">
        <f aca="true" t="shared" si="0" ref="IS12:IS42">+IR12-IQ12</f>
        <v>-14</v>
      </c>
      <c r="IT12" s="1"/>
      <c r="IU12" s="1"/>
      <c r="IV12" s="1"/>
    </row>
    <row r="13" spans="1:256" s="5" customFormat="1" ht="16.5" customHeight="1">
      <c r="A13" s="100"/>
      <c r="B13" s="80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</v>
      </c>
      <c r="GQ13" s="17">
        <v>1006.2333333333333</v>
      </c>
      <c r="GR13" s="17">
        <v>967.7741935483871</v>
      </c>
      <c r="GS13" s="17">
        <v>935.741935483871</v>
      </c>
      <c r="GT13" s="17">
        <v>943.3666666666667</v>
      </c>
      <c r="GU13" s="17">
        <v>936.8064516129032</v>
      </c>
      <c r="GV13" s="17">
        <v>937.8</v>
      </c>
      <c r="GW13" s="17">
        <v>910.4193548387096</v>
      </c>
      <c r="GX13" s="17">
        <v>922.4193548387096</v>
      </c>
      <c r="GY13" s="17">
        <v>813.2857142857143</v>
      </c>
      <c r="GZ13" s="17">
        <v>603.2903225806451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75">
        <v>641</v>
      </c>
      <c r="HY13" s="75">
        <v>681.9</v>
      </c>
      <c r="HZ13" s="75">
        <v>693.6129032258065</v>
      </c>
      <c r="IA13" s="75">
        <v>694</v>
      </c>
      <c r="IB13" s="75">
        <v>696.4193548387096</v>
      </c>
      <c r="IC13" s="75">
        <v>740.8709677419355</v>
      </c>
      <c r="ID13" s="75">
        <v>786.9</v>
      </c>
      <c r="IE13" s="75">
        <v>802.5806451612904</v>
      </c>
      <c r="IF13" s="75">
        <v>798.3333333333334</v>
      </c>
      <c r="IG13" s="17">
        <v>816</v>
      </c>
      <c r="IH13" s="17">
        <v>759</v>
      </c>
      <c r="II13" s="17">
        <v>740</v>
      </c>
      <c r="IJ13" s="17">
        <v>754</v>
      </c>
      <c r="IK13" s="17">
        <v>711</v>
      </c>
      <c r="IL13" s="17">
        <v>656</v>
      </c>
      <c r="IM13" s="17">
        <v>663</v>
      </c>
      <c r="IN13" s="17">
        <v>686</v>
      </c>
      <c r="IO13" s="17">
        <v>641</v>
      </c>
      <c r="IP13" s="17">
        <v>631</v>
      </c>
      <c r="IQ13" s="17">
        <v>641</v>
      </c>
      <c r="IR13" s="17">
        <v>622</v>
      </c>
      <c r="IS13" s="17">
        <f t="shared" si="0"/>
        <v>-19</v>
      </c>
      <c r="IT13" s="1"/>
      <c r="IU13" s="1"/>
      <c r="IV13" s="1"/>
    </row>
    <row r="14" spans="1:256" s="5" customFormat="1" ht="16.5" customHeight="1">
      <c r="A14" s="100"/>
      <c r="B14" s="80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596.3</v>
      </c>
      <c r="GP14" s="17">
        <v>601.0322580645161</v>
      </c>
      <c r="GQ14" s="17">
        <v>607.3</v>
      </c>
      <c r="GR14" s="17">
        <v>637.6451612903226</v>
      </c>
      <c r="GS14" s="17">
        <v>615.8387096774194</v>
      </c>
      <c r="GT14" s="17">
        <v>601.6333333333333</v>
      </c>
      <c r="GU14" s="17">
        <v>609.483870967742</v>
      </c>
      <c r="GV14" s="17">
        <v>627.8</v>
      </c>
      <c r="GW14" s="17">
        <v>845.6129032258065</v>
      </c>
      <c r="GX14" s="17">
        <v>1435.774193548387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75">
        <v>2382</v>
      </c>
      <c r="HY14" s="75">
        <v>2574</v>
      </c>
      <c r="HZ14" s="75">
        <f>83227/31</f>
        <v>2684.7419354838707</v>
      </c>
      <c r="IA14" s="75">
        <v>3220</v>
      </c>
      <c r="IB14" s="75">
        <f>103886/31</f>
        <v>3351.1612903225805</v>
      </c>
      <c r="IC14" s="75">
        <f>94649/31</f>
        <v>3053.1935483870966</v>
      </c>
      <c r="ID14" s="75">
        <f>79209/30</f>
        <v>2640.3</v>
      </c>
      <c r="IE14" s="75">
        <f>82157/31</f>
        <v>2650.2258064516127</v>
      </c>
      <c r="IF14" s="75">
        <f>72335/30</f>
        <v>2411.1666666666665</v>
      </c>
      <c r="IG14" s="17">
        <v>2319</v>
      </c>
      <c r="IH14" s="17">
        <v>2263</v>
      </c>
      <c r="II14" s="17">
        <v>2292</v>
      </c>
      <c r="IJ14" s="17">
        <v>2645</v>
      </c>
      <c r="IK14" s="17">
        <v>2408</v>
      </c>
      <c r="IL14" s="17">
        <v>2249</v>
      </c>
      <c r="IM14" s="17">
        <v>2187</v>
      </c>
      <c r="IN14" s="17">
        <v>2134</v>
      </c>
      <c r="IO14" s="17">
        <v>2023</v>
      </c>
      <c r="IP14" s="17">
        <v>1960</v>
      </c>
      <c r="IQ14" s="17">
        <v>1878</v>
      </c>
      <c r="IR14" s="17">
        <v>1825</v>
      </c>
      <c r="IS14" s="17">
        <f t="shared" si="0"/>
        <v>-53</v>
      </c>
      <c r="IT14" s="1"/>
      <c r="IU14" s="1"/>
      <c r="IV14" s="1"/>
    </row>
    <row r="15" spans="1:256" s="5" customFormat="1" ht="16.5" customHeight="1">
      <c r="A15" s="100"/>
      <c r="B15" s="80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87.64516129032258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75">
        <v>106</v>
      </c>
      <c r="HY15" s="75">
        <v>106</v>
      </c>
      <c r="HZ15" s="75">
        <v>105.61290322580645</v>
      </c>
      <c r="IA15" s="75">
        <v>88</v>
      </c>
      <c r="IB15" s="75">
        <v>119.61290322580645</v>
      </c>
      <c r="IC15" s="75">
        <v>102.64516129032258</v>
      </c>
      <c r="ID15" s="75">
        <v>106.83333333333333</v>
      </c>
      <c r="IE15" s="75">
        <v>99.6774193548387</v>
      </c>
      <c r="IF15" s="75">
        <v>108.6</v>
      </c>
      <c r="IG15" s="17">
        <v>110</v>
      </c>
      <c r="IH15" s="17">
        <v>106</v>
      </c>
      <c r="II15" s="17">
        <v>100</v>
      </c>
      <c r="IJ15" s="17">
        <v>102</v>
      </c>
      <c r="IK15" s="17">
        <v>98</v>
      </c>
      <c r="IL15" s="17">
        <v>99</v>
      </c>
      <c r="IM15" s="17">
        <v>88</v>
      </c>
      <c r="IN15" s="17">
        <v>98</v>
      </c>
      <c r="IO15" s="17">
        <v>88</v>
      </c>
      <c r="IP15" s="17">
        <v>99</v>
      </c>
      <c r="IQ15" s="17">
        <v>81</v>
      </c>
      <c r="IR15" s="17">
        <v>92</v>
      </c>
      <c r="IS15" s="17">
        <f t="shared" si="0"/>
        <v>11</v>
      </c>
      <c r="IT15" s="1"/>
      <c r="IU15" s="1"/>
      <c r="IV15" s="1"/>
    </row>
    <row r="16" spans="1:256" s="5" customFormat="1" ht="15.75" customHeight="1">
      <c r="A16" s="100"/>
      <c r="B16" s="80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83">
        <v>125069</v>
      </c>
      <c r="P16" s="83">
        <v>132837</v>
      </c>
      <c r="Q16" s="83">
        <v>127982</v>
      </c>
      <c r="R16" s="83">
        <v>134937</v>
      </c>
      <c r="S16" s="83">
        <v>128138</v>
      </c>
      <c r="T16" s="83">
        <v>132222</v>
      </c>
      <c r="U16" s="83">
        <v>127513</v>
      </c>
      <c r="V16" s="83">
        <v>113266</v>
      </c>
      <c r="W16" s="83">
        <v>121026</v>
      </c>
      <c r="X16" s="83">
        <v>130746</v>
      </c>
      <c r="Y16" s="83">
        <v>140659</v>
      </c>
      <c r="Z16" s="83">
        <v>133530</v>
      </c>
      <c r="AA16" s="83">
        <v>141390</v>
      </c>
      <c r="AB16" s="83">
        <v>135945</v>
      </c>
      <c r="AC16" s="83">
        <v>134600</v>
      </c>
      <c r="AD16" s="83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3254.866666666667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</v>
      </c>
      <c r="HX16" s="75">
        <v>4070</v>
      </c>
      <c r="HY16" s="75">
        <v>3904</v>
      </c>
      <c r="HZ16" s="75">
        <f>120055/31</f>
        <v>3872.7419354838707</v>
      </c>
      <c r="IA16" s="75">
        <v>3842</v>
      </c>
      <c r="IB16" s="75">
        <f>115250/31</f>
        <v>3717.7419354838707</v>
      </c>
      <c r="IC16" s="75">
        <f>116677/31</f>
        <v>3763.7741935483873</v>
      </c>
      <c r="ID16" s="75">
        <f>112577/30</f>
        <v>3752.5666666666666</v>
      </c>
      <c r="IE16" s="75">
        <f>120051/31</f>
        <v>3872.6129032258063</v>
      </c>
      <c r="IF16" s="75">
        <f>115749/30</f>
        <v>3858.3</v>
      </c>
      <c r="IG16" s="17">
        <v>3787</v>
      </c>
      <c r="IH16" s="17">
        <v>3843</v>
      </c>
      <c r="II16" s="17">
        <v>3663</v>
      </c>
      <c r="IJ16" s="17">
        <v>3721</v>
      </c>
      <c r="IK16" s="17">
        <v>3518</v>
      </c>
      <c r="IL16" s="17">
        <v>3406</v>
      </c>
      <c r="IM16" s="17">
        <v>3548</v>
      </c>
      <c r="IN16" s="17">
        <v>3469</v>
      </c>
      <c r="IO16" s="17">
        <v>3534</v>
      </c>
      <c r="IP16" s="17">
        <v>3507</v>
      </c>
      <c r="IQ16" s="17">
        <v>3428</v>
      </c>
      <c r="IR16" s="17">
        <v>3293</v>
      </c>
      <c r="IS16" s="17">
        <f t="shared" si="0"/>
        <v>-135</v>
      </c>
      <c r="IT16" s="1"/>
      <c r="IU16" s="1"/>
      <c r="IV16" s="1"/>
    </row>
    <row r="17" spans="1:256" s="5" customFormat="1" ht="16.5" customHeight="1" hidden="1">
      <c r="A17" s="100"/>
      <c r="B17" s="80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8"/>
      <c r="AA17" s="88"/>
      <c r="AB17" s="88"/>
      <c r="AC17" s="88"/>
      <c r="AD17" s="8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>
        <f t="shared" si="0"/>
        <v>0</v>
      </c>
      <c r="IT17" s="1"/>
      <c r="IU17" s="1"/>
      <c r="IV17" s="1"/>
    </row>
    <row r="18" spans="1:256" s="5" customFormat="1" ht="16.5" customHeight="1">
      <c r="A18" s="100"/>
      <c r="B18" s="80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193.4516129032258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75">
        <v>173</v>
      </c>
      <c r="HY18" s="75">
        <v>171</v>
      </c>
      <c r="HZ18" s="75">
        <v>165.29032258064515</v>
      </c>
      <c r="IA18" s="75">
        <v>171</v>
      </c>
      <c r="IB18" s="75">
        <v>171.16129032258064</v>
      </c>
      <c r="IC18" s="75">
        <v>161.3548387096774</v>
      </c>
      <c r="ID18" s="75">
        <v>166.76666666666668</v>
      </c>
      <c r="IE18" s="75">
        <v>170.74193548387098</v>
      </c>
      <c r="IF18" s="75">
        <v>167.96666666666667</v>
      </c>
      <c r="IG18" s="17">
        <v>168</v>
      </c>
      <c r="IH18" s="17">
        <v>168</v>
      </c>
      <c r="II18" s="17">
        <v>168</v>
      </c>
      <c r="IJ18" s="17">
        <v>165</v>
      </c>
      <c r="IK18" s="17">
        <v>166</v>
      </c>
      <c r="IL18" s="17">
        <v>158</v>
      </c>
      <c r="IM18" s="17">
        <v>156</v>
      </c>
      <c r="IN18" s="17">
        <v>156</v>
      </c>
      <c r="IO18" s="17">
        <v>155</v>
      </c>
      <c r="IP18" s="17">
        <v>163</v>
      </c>
      <c r="IQ18" s="17">
        <v>167</v>
      </c>
      <c r="IR18" s="17">
        <v>152</v>
      </c>
      <c r="IS18" s="17">
        <f t="shared" si="0"/>
        <v>-15</v>
      </c>
      <c r="IT18" s="1"/>
      <c r="IU18" s="1"/>
      <c r="IV18" s="1"/>
    </row>
    <row r="19" spans="1:256" s="5" customFormat="1" ht="16.5" customHeight="1" hidden="1">
      <c r="A19" s="100"/>
      <c r="B19" s="80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>
        <f t="shared" si="0"/>
        <v>0</v>
      </c>
      <c r="IT19" s="1"/>
      <c r="IU19" s="1"/>
      <c r="IV19" s="1"/>
    </row>
    <row r="20" spans="1:256" s="5" customFormat="1" ht="16.5" customHeight="1">
      <c r="A20" s="100"/>
      <c r="B20" s="80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10096.32142857143</v>
      </c>
      <c r="GZ20" s="17">
        <v>9499.548387096775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75">
        <v>13886</v>
      </c>
      <c r="HY20" s="75">
        <v>14174.96</v>
      </c>
      <c r="HZ20" s="75">
        <f>445432/31</f>
        <v>14368.774193548386</v>
      </c>
      <c r="IA20" s="75">
        <v>14391</v>
      </c>
      <c r="IB20" s="75">
        <f>446939/31</f>
        <v>14417.387096774193</v>
      </c>
      <c r="IC20" s="75">
        <f>411601/31</f>
        <v>13277.451612903225</v>
      </c>
      <c r="ID20" s="75">
        <f>456346/30</f>
        <v>15211.533333333333</v>
      </c>
      <c r="IE20" s="75">
        <f>471561/31</f>
        <v>15211.645161290322</v>
      </c>
      <c r="IF20" s="75">
        <f>455211/30</f>
        <v>15173.7</v>
      </c>
      <c r="IG20" s="17">
        <v>14446</v>
      </c>
      <c r="IH20" s="17">
        <v>14902</v>
      </c>
      <c r="II20" s="17">
        <v>14791</v>
      </c>
      <c r="IJ20" s="17">
        <v>14380</v>
      </c>
      <c r="IK20" s="17">
        <v>13238</v>
      </c>
      <c r="IL20" s="17">
        <v>13259</v>
      </c>
      <c r="IM20" s="17">
        <v>12784</v>
      </c>
      <c r="IN20" s="17">
        <v>12621</v>
      </c>
      <c r="IO20" s="17">
        <v>12447</v>
      </c>
      <c r="IP20" s="17">
        <v>12312</v>
      </c>
      <c r="IQ20" s="17">
        <v>12183</v>
      </c>
      <c r="IR20" s="17">
        <v>12220</v>
      </c>
      <c r="IS20" s="17">
        <f t="shared" si="0"/>
        <v>37</v>
      </c>
      <c r="IT20" s="1"/>
      <c r="IU20" s="1"/>
      <c r="IV20" s="1"/>
    </row>
    <row r="21" spans="1:256" s="5" customFormat="1" ht="16.5" customHeight="1">
      <c r="A21" s="100"/>
      <c r="B21" s="80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</v>
      </c>
      <c r="GS21" s="17">
        <v>3682.5806451612902</v>
      </c>
      <c r="GT21" s="17">
        <v>3482.3</v>
      </c>
      <c r="GU21" s="17">
        <v>3186.8064516129034</v>
      </c>
      <c r="GV21" s="17">
        <v>3104.266666666667</v>
      </c>
      <c r="GW21" s="17">
        <v>3503.3548387096776</v>
      </c>
      <c r="GX21" s="17">
        <v>3535.7096774193546</v>
      </c>
      <c r="GY21" s="17">
        <v>3159.714285714286</v>
      </c>
      <c r="GZ21" s="17">
        <v>3034.935483870968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75">
        <v>1859</v>
      </c>
      <c r="HY21" s="75">
        <v>2107</v>
      </c>
      <c r="HZ21" s="75">
        <f>59558/31</f>
        <v>1921.225806451613</v>
      </c>
      <c r="IA21" s="75">
        <v>1955</v>
      </c>
      <c r="IB21" s="75">
        <f>66570/31</f>
        <v>2147.4193548387098</v>
      </c>
      <c r="IC21" s="75">
        <f>66497/31</f>
        <v>2145.064516129032</v>
      </c>
      <c r="ID21" s="75">
        <f>63313/30</f>
        <v>2110.4333333333334</v>
      </c>
      <c r="IE21" s="75">
        <f>56207/31</f>
        <v>1813.1290322580646</v>
      </c>
      <c r="IF21" s="75">
        <f>55392/30</f>
        <v>1846.4</v>
      </c>
      <c r="IG21" s="17">
        <v>1751</v>
      </c>
      <c r="IH21" s="17">
        <v>1714</v>
      </c>
      <c r="II21" s="17">
        <v>1656</v>
      </c>
      <c r="IJ21" s="17">
        <v>1557</v>
      </c>
      <c r="IK21" s="17">
        <v>1475</v>
      </c>
      <c r="IL21" s="17">
        <v>1401</v>
      </c>
      <c r="IM21" s="17">
        <v>1320</v>
      </c>
      <c r="IN21" s="17">
        <v>1342</v>
      </c>
      <c r="IO21" s="17">
        <v>1320</v>
      </c>
      <c r="IP21" s="17">
        <v>1297</v>
      </c>
      <c r="IQ21" s="17">
        <v>1266</v>
      </c>
      <c r="IR21" s="17">
        <v>1189</v>
      </c>
      <c r="IS21" s="17">
        <f t="shared" si="0"/>
        <v>-77</v>
      </c>
      <c r="IT21" s="1"/>
      <c r="IU21" s="1"/>
      <c r="IV21" s="1"/>
    </row>
    <row r="22" spans="1:256" s="5" customFormat="1" ht="16.5" customHeight="1">
      <c r="A22" s="100"/>
      <c r="B22" s="80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46.03225806451613</v>
      </c>
      <c r="GS22" s="17">
        <v>47.193548387096776</v>
      </c>
      <c r="GT22" s="17">
        <v>45.36666666666667</v>
      </c>
      <c r="GU22" s="17">
        <v>43.935483870967744</v>
      </c>
      <c r="GV22" s="17">
        <v>45.666666666666664</v>
      </c>
      <c r="GW22" s="17">
        <v>41.54838709677419</v>
      </c>
      <c r="GX22" s="17">
        <v>38.32258064516129</v>
      </c>
      <c r="GY22" s="17">
        <v>40.32142857142857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75">
        <v>32</v>
      </c>
      <c r="HY22" s="75">
        <v>34</v>
      </c>
      <c r="HZ22" s="75">
        <v>33.096774193548384</v>
      </c>
      <c r="IA22" s="75">
        <v>33</v>
      </c>
      <c r="IB22" s="75">
        <v>32.38709677419355</v>
      </c>
      <c r="IC22" s="75">
        <v>33.41935483870968</v>
      </c>
      <c r="ID22" s="75">
        <v>33.4</v>
      </c>
      <c r="IE22" s="75">
        <v>42.96774193548387</v>
      </c>
      <c r="IF22" s="75">
        <v>55.43333333333333</v>
      </c>
      <c r="IG22" s="17">
        <v>42</v>
      </c>
      <c r="IH22" s="17">
        <v>42</v>
      </c>
      <c r="II22" s="17">
        <v>38</v>
      </c>
      <c r="IJ22" s="17">
        <v>38</v>
      </c>
      <c r="IK22" s="17">
        <v>38</v>
      </c>
      <c r="IL22" s="17">
        <v>37</v>
      </c>
      <c r="IM22" s="17">
        <v>33</v>
      </c>
      <c r="IN22" s="17">
        <v>35</v>
      </c>
      <c r="IO22" s="17">
        <v>31</v>
      </c>
      <c r="IP22" s="17">
        <v>31</v>
      </c>
      <c r="IQ22" s="17">
        <v>35</v>
      </c>
      <c r="IR22" s="17">
        <v>34</v>
      </c>
      <c r="IS22" s="17">
        <f t="shared" si="0"/>
        <v>-1</v>
      </c>
      <c r="IT22" s="1"/>
      <c r="IU22" s="1"/>
      <c r="IV22" s="1"/>
    </row>
    <row r="23" spans="1:256" s="5" customFormat="1" ht="16.5" customHeight="1" thickBot="1">
      <c r="A23" s="100"/>
      <c r="B23" s="80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</v>
      </c>
      <c r="HX23" s="75">
        <v>19</v>
      </c>
      <c r="HY23" s="75">
        <v>16</v>
      </c>
      <c r="HZ23" s="75">
        <v>15.290322580645162</v>
      </c>
      <c r="IA23" s="75">
        <v>15</v>
      </c>
      <c r="IB23" s="75">
        <v>15.193548387096774</v>
      </c>
      <c r="IC23" s="75">
        <v>13.548387096774194</v>
      </c>
      <c r="ID23" s="75">
        <v>14.933333333333334</v>
      </c>
      <c r="IE23" s="75">
        <v>15.290322580645162</v>
      </c>
      <c r="IF23" s="75">
        <v>14.866666666666667</v>
      </c>
      <c r="IG23" s="17">
        <v>15</v>
      </c>
      <c r="IH23" s="17">
        <v>15</v>
      </c>
      <c r="II23" s="17">
        <v>14</v>
      </c>
      <c r="IJ23" s="17">
        <v>14</v>
      </c>
      <c r="IK23" s="17">
        <v>14</v>
      </c>
      <c r="IL23" s="17">
        <v>13</v>
      </c>
      <c r="IM23" s="17">
        <v>14</v>
      </c>
      <c r="IN23" s="17">
        <v>13</v>
      </c>
      <c r="IO23" s="17">
        <v>14</v>
      </c>
      <c r="IP23" s="17">
        <v>13</v>
      </c>
      <c r="IQ23" s="17">
        <v>13</v>
      </c>
      <c r="IR23" s="17">
        <v>15</v>
      </c>
      <c r="IS23" s="17">
        <f t="shared" si="0"/>
        <v>2</v>
      </c>
      <c r="IT23" s="1"/>
      <c r="IU23" s="1"/>
      <c r="IV23" s="1"/>
    </row>
    <row r="24" spans="2:256" s="5" customFormat="1" ht="21.75" customHeight="1" thickBot="1" thickTop="1">
      <c r="B24" s="29"/>
      <c r="C24" s="101" t="s">
        <v>46</v>
      </c>
      <c r="D24" s="101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20661.54838709677</v>
      </c>
      <c r="GS24" s="32">
        <v>20837.645161290326</v>
      </c>
      <c r="GT24" s="32">
        <v>20657.33333333333</v>
      </c>
      <c r="GU24" s="32">
        <v>20620.290322580637</v>
      </c>
      <c r="GV24" s="32">
        <v>20630.56666666667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aca="true" t="shared" si="1" ref="HG24:HO24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aca="true" t="shared" si="2" ref="HP24:HU24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 aca="true" t="shared" si="3" ref="HV24:ID24">+SUM(HV11:HV23)</f>
        <v>23587</v>
      </c>
      <c r="HW24" s="31">
        <f t="shared" si="3"/>
        <v>23630.899999999998</v>
      </c>
      <c r="HX24" s="31">
        <f t="shared" si="3"/>
        <v>24055</v>
      </c>
      <c r="HY24" s="31">
        <f t="shared" si="3"/>
        <v>24773.72</v>
      </c>
      <c r="HZ24" s="31">
        <f t="shared" si="3"/>
        <v>24820.90322580645</v>
      </c>
      <c r="IA24" s="31">
        <f t="shared" si="3"/>
        <v>25310</v>
      </c>
      <c r="IB24" s="31">
        <f t="shared" si="3"/>
        <v>25638.74193548387</v>
      </c>
      <c r="IC24" s="31">
        <f t="shared" si="3"/>
        <v>24295.387096774193</v>
      </c>
      <c r="ID24" s="31">
        <f t="shared" si="3"/>
        <v>25812.733333333337</v>
      </c>
      <c r="IE24" s="31">
        <f aca="true" t="shared" si="4" ref="IE24:IJ24">+SUM(IE11:IE23)</f>
        <v>25735.870967741936</v>
      </c>
      <c r="IF24" s="31">
        <f t="shared" si="4"/>
        <v>25472.033333333336</v>
      </c>
      <c r="IG24" s="31">
        <f t="shared" si="4"/>
        <v>24480</v>
      </c>
      <c r="IH24" s="31">
        <f t="shared" si="4"/>
        <v>24815</v>
      </c>
      <c r="II24" s="31">
        <f t="shared" si="4"/>
        <v>24462</v>
      </c>
      <c r="IJ24" s="31">
        <f t="shared" si="4"/>
        <v>24384</v>
      </c>
      <c r="IK24" s="31">
        <f aca="true" t="shared" si="5" ref="IK24:IP24">+SUM(IK11:IK23)</f>
        <v>22633</v>
      </c>
      <c r="IL24" s="31">
        <f t="shared" si="5"/>
        <v>22177</v>
      </c>
      <c r="IM24" s="31">
        <f t="shared" si="5"/>
        <v>21822</v>
      </c>
      <c r="IN24" s="31">
        <f t="shared" si="5"/>
        <v>21632</v>
      </c>
      <c r="IO24" s="31">
        <f t="shared" si="5"/>
        <v>21278</v>
      </c>
      <c r="IP24" s="31">
        <f t="shared" si="5"/>
        <v>21037</v>
      </c>
      <c r="IQ24" s="31">
        <f>+SUM(IQ11:IQ23)</f>
        <v>20684</v>
      </c>
      <c r="IR24" s="31">
        <f>+SUM(IR11:IR23)</f>
        <v>20433</v>
      </c>
      <c r="IS24" s="31">
        <f t="shared" si="0"/>
        <v>-251</v>
      </c>
      <c r="IT24" s="1"/>
      <c r="IU24" s="1"/>
      <c r="IV24" s="1"/>
    </row>
    <row r="25" spans="1:256" s="5" customFormat="1" ht="16.5" customHeight="1" thickBot="1" thickTop="1">
      <c r="A25" s="77" t="s">
        <v>41</v>
      </c>
      <c r="B25" s="81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8267.612903225807</v>
      </c>
      <c r="GQ25" s="17">
        <v>8340.566666666668</v>
      </c>
      <c r="GR25" s="17">
        <v>7951.5161290322585</v>
      </c>
      <c r="GS25" s="17">
        <v>8369.129032258064</v>
      </c>
      <c r="GT25" s="17">
        <v>8020.2</v>
      </c>
      <c r="GU25" s="17">
        <v>8642.516129032258</v>
      </c>
      <c r="GV25" s="17">
        <v>8711</v>
      </c>
      <c r="GW25" s="17">
        <v>8342.032258064517</v>
      </c>
      <c r="GX25" s="17">
        <v>7994.419354838709</v>
      </c>
      <c r="GY25" s="17">
        <v>7660.535714285715</v>
      </c>
      <c r="GZ25" s="17">
        <v>7345.451612903225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75">
        <v>7280</v>
      </c>
      <c r="HY25" s="75">
        <v>7522</v>
      </c>
      <c r="HZ25" s="75">
        <f>222909/31</f>
        <v>7190.612903225807</v>
      </c>
      <c r="IA25" s="75">
        <v>6789</v>
      </c>
      <c r="IB25" s="75">
        <f>216346/31</f>
        <v>6978.903225806452</v>
      </c>
      <c r="IC25" s="75">
        <f>227463/31</f>
        <v>7337.5161290322585</v>
      </c>
      <c r="ID25" s="75">
        <f>212302/30</f>
        <v>7076.733333333334</v>
      </c>
      <c r="IE25" s="75">
        <f>209422/31</f>
        <v>6755.548387096775</v>
      </c>
      <c r="IF25" s="75">
        <f>195880/30</f>
        <v>6529.333333333333</v>
      </c>
      <c r="IG25" s="17">
        <v>6759</v>
      </c>
      <c r="IH25" s="17">
        <v>6739</v>
      </c>
      <c r="II25" s="17">
        <v>6281</v>
      </c>
      <c r="IJ25" s="17">
        <v>6036</v>
      </c>
      <c r="IK25" s="17">
        <v>6554</v>
      </c>
      <c r="IL25" s="17">
        <v>6625</v>
      </c>
      <c r="IM25" s="17">
        <v>6046</v>
      </c>
      <c r="IN25" s="17">
        <v>6142</v>
      </c>
      <c r="IO25" s="17">
        <v>6309</v>
      </c>
      <c r="IP25" s="17">
        <v>5659</v>
      </c>
      <c r="IQ25" s="17">
        <v>6190</v>
      </c>
      <c r="IR25" s="17">
        <v>6213</v>
      </c>
      <c r="IS25" s="17">
        <f t="shared" si="0"/>
        <v>23</v>
      </c>
      <c r="IT25" s="1"/>
      <c r="IU25" s="1"/>
      <c r="IV25" s="1"/>
    </row>
    <row r="26" spans="1:256" s="5" customFormat="1" ht="16.5" customHeight="1" hidden="1" thickBot="1" thickTop="1">
      <c r="A26" s="77"/>
      <c r="B26" s="81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aca="true" t="shared" si="6" ref="HQ26:HS27">+HP26-HO26</f>
        <v>0</v>
      </c>
      <c r="HR26" s="17">
        <f t="shared" si="6"/>
        <v>0</v>
      </c>
      <c r="HS26" s="17">
        <f t="shared" si="6"/>
        <v>0</v>
      </c>
      <c r="HT26" s="17">
        <f>+HS26-HR26</f>
        <v>0</v>
      </c>
      <c r="HU26" s="17"/>
      <c r="HV26" s="17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>
        <f t="shared" si="0"/>
        <v>0</v>
      </c>
      <c r="IT26" s="1"/>
      <c r="IU26" s="1"/>
      <c r="IV26" s="1"/>
    </row>
    <row r="27" spans="1:256" s="5" customFormat="1" ht="16.5" customHeight="1" thickBot="1" thickTop="1">
      <c r="A27" s="77"/>
      <c r="B27" s="81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aca="true" t="shared" si="7" ref="HJ27:HP27">+HI27-HH27</f>
        <v>0</v>
      </c>
      <c r="HK27" s="17">
        <f t="shared" si="7"/>
        <v>0</v>
      </c>
      <c r="HL27" s="17">
        <f t="shared" si="7"/>
        <v>0</v>
      </c>
      <c r="HM27" s="17">
        <f t="shared" si="7"/>
        <v>0</v>
      </c>
      <c r="HN27" s="17">
        <f t="shared" si="7"/>
        <v>0</v>
      </c>
      <c r="HO27" s="17">
        <f t="shared" si="7"/>
        <v>0</v>
      </c>
      <c r="HP27" s="17">
        <f t="shared" si="7"/>
        <v>0</v>
      </c>
      <c r="HQ27" s="17">
        <f t="shared" si="6"/>
        <v>0</v>
      </c>
      <c r="HR27" s="17">
        <f t="shared" si="6"/>
        <v>0</v>
      </c>
      <c r="HS27" s="17">
        <f t="shared" si="6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75">
        <v>0</v>
      </c>
      <c r="HY27" s="75">
        <v>0</v>
      </c>
      <c r="HZ27" s="75">
        <v>0</v>
      </c>
      <c r="IA27" s="75">
        <v>0</v>
      </c>
      <c r="IB27" s="75">
        <v>0</v>
      </c>
      <c r="IC27" s="75">
        <v>0</v>
      </c>
      <c r="ID27" s="75">
        <v>0</v>
      </c>
      <c r="IE27" s="75">
        <v>0</v>
      </c>
      <c r="IF27" s="75">
        <v>0</v>
      </c>
      <c r="IG27" s="17">
        <v>0</v>
      </c>
      <c r="IH27" s="17">
        <v>0</v>
      </c>
      <c r="II27" s="17">
        <v>0</v>
      </c>
      <c r="IJ27" s="17">
        <v>0</v>
      </c>
      <c r="IK27" s="17">
        <v>0</v>
      </c>
      <c r="IL27" s="17">
        <v>0</v>
      </c>
      <c r="IM27" s="17">
        <v>0</v>
      </c>
      <c r="IN27" s="17">
        <v>0</v>
      </c>
      <c r="IO27" s="17">
        <v>0</v>
      </c>
      <c r="IP27" s="17">
        <v>0</v>
      </c>
      <c r="IQ27" s="17">
        <v>0</v>
      </c>
      <c r="IR27" s="17">
        <v>0</v>
      </c>
      <c r="IS27" s="17">
        <f t="shared" si="0"/>
        <v>0</v>
      </c>
      <c r="IT27" s="1"/>
      <c r="IU27" s="1"/>
      <c r="IV27" s="1"/>
    </row>
    <row r="28" spans="1:256" s="5" customFormat="1" ht="21" customHeight="1" thickBot="1" thickTop="1">
      <c r="A28" s="78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</v>
      </c>
      <c r="GT28" s="17">
        <v>2902.3333333333335</v>
      </c>
      <c r="GU28" s="17">
        <v>2743.7419354838707</v>
      </c>
      <c r="GV28" s="17">
        <v>2642.866666666667</v>
      </c>
      <c r="GW28" s="17">
        <v>2205.1290322580644</v>
      </c>
      <c r="GX28" s="17">
        <v>378.64516129032256</v>
      </c>
      <c r="GY28" s="17">
        <v>1831.857142857143</v>
      </c>
      <c r="GZ28" s="17">
        <v>4547.806451612903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75">
        <v>1829</v>
      </c>
      <c r="HY28" s="75">
        <v>0</v>
      </c>
      <c r="HZ28" s="75">
        <f>58432/31</f>
        <v>1884.9032258064517</v>
      </c>
      <c r="IA28" s="75">
        <v>1833</v>
      </c>
      <c r="IB28" s="75">
        <v>0</v>
      </c>
      <c r="IC28" s="75">
        <f>54420/31</f>
        <v>1755.483870967742</v>
      </c>
      <c r="ID28" s="75">
        <f>53815/30</f>
        <v>1793.8333333333333</v>
      </c>
      <c r="IE28" s="75">
        <v>0</v>
      </c>
      <c r="IF28" s="75">
        <f>77973/30</f>
        <v>2599.1</v>
      </c>
      <c r="IG28" s="17">
        <v>1307</v>
      </c>
      <c r="IH28" s="17">
        <v>0</v>
      </c>
      <c r="II28" s="17">
        <v>1120</v>
      </c>
      <c r="IJ28" s="17">
        <v>0</v>
      </c>
      <c r="IK28" s="17">
        <v>0</v>
      </c>
      <c r="IL28" s="17">
        <v>0</v>
      </c>
      <c r="IM28" s="17">
        <v>0</v>
      </c>
      <c r="IN28" s="17">
        <v>0</v>
      </c>
      <c r="IO28" s="17">
        <v>0</v>
      </c>
      <c r="IP28" s="17">
        <v>0</v>
      </c>
      <c r="IQ28" s="17">
        <v>0</v>
      </c>
      <c r="IR28" s="17">
        <v>0</v>
      </c>
      <c r="IS28" s="17">
        <f t="shared" si="0"/>
        <v>0</v>
      </c>
      <c r="IT28" s="1"/>
      <c r="IU28" s="1"/>
      <c r="IV28" s="1"/>
    </row>
    <row r="29" spans="2:256" s="5" customFormat="1" ht="19.5" customHeight="1" thickBot="1" thickTop="1">
      <c r="B29" s="34"/>
      <c r="C29" s="82" t="s">
        <v>47</v>
      </c>
      <c r="D29" s="82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8340.566666666668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</v>
      </c>
      <c r="GY29" s="37">
        <v>9492.392857142857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aca="true" t="shared" si="8" ref="HG29:HO29">+SUM(HG25:HG28)</f>
        <v>9366</v>
      </c>
      <c r="HH29" s="37">
        <f t="shared" si="8"/>
        <v>9829</v>
      </c>
      <c r="HI29" s="37">
        <f t="shared" si="8"/>
        <v>9992</v>
      </c>
      <c r="HJ29" s="37">
        <f t="shared" si="8"/>
        <v>7954</v>
      </c>
      <c r="HK29" s="37">
        <f t="shared" si="8"/>
        <v>10456</v>
      </c>
      <c r="HL29" s="37">
        <f t="shared" si="8"/>
        <v>10637</v>
      </c>
      <c r="HM29" s="37">
        <f t="shared" si="8"/>
        <v>7946</v>
      </c>
      <c r="HN29" s="37">
        <f t="shared" si="8"/>
        <v>10574</v>
      </c>
      <c r="HO29" s="37">
        <f t="shared" si="8"/>
        <v>8092</v>
      </c>
      <c r="HP29" s="37">
        <f aca="true" t="shared" si="9" ref="HP29:HV29">+SUM(HP25:HP28)</f>
        <v>10443</v>
      </c>
      <c r="HQ29" s="37">
        <f t="shared" si="9"/>
        <v>10345</v>
      </c>
      <c r="HR29" s="37">
        <f t="shared" si="9"/>
        <v>6178</v>
      </c>
      <c r="HS29" s="37">
        <f t="shared" si="9"/>
        <v>10679</v>
      </c>
      <c r="HT29" s="37">
        <f t="shared" si="9"/>
        <v>7446</v>
      </c>
      <c r="HU29" s="37">
        <f t="shared" si="9"/>
        <v>9913</v>
      </c>
      <c r="HV29" s="37">
        <f t="shared" si="9"/>
        <v>7714</v>
      </c>
      <c r="HW29" s="37">
        <f aca="true" t="shared" si="10" ref="HW29:ID29">+SUM(HW25:HW28)</f>
        <v>10976.2</v>
      </c>
      <c r="HX29" s="37">
        <f t="shared" si="10"/>
        <v>9109</v>
      </c>
      <c r="HY29" s="37">
        <f t="shared" si="10"/>
        <v>7522</v>
      </c>
      <c r="HZ29" s="37">
        <f t="shared" si="10"/>
        <v>9075.516129032258</v>
      </c>
      <c r="IA29" s="37">
        <f t="shared" si="10"/>
        <v>8622</v>
      </c>
      <c r="IB29" s="37">
        <f t="shared" si="10"/>
        <v>6978.903225806452</v>
      </c>
      <c r="IC29" s="37">
        <f t="shared" si="10"/>
        <v>9093</v>
      </c>
      <c r="ID29" s="37">
        <f t="shared" si="10"/>
        <v>8870.566666666668</v>
      </c>
      <c r="IE29" s="37">
        <f aca="true" t="shared" si="11" ref="IE29:IJ29">+SUM(IE25:IE28)</f>
        <v>6755.548387096775</v>
      </c>
      <c r="IF29" s="37">
        <f t="shared" si="11"/>
        <v>9128.433333333332</v>
      </c>
      <c r="IG29" s="37">
        <f t="shared" si="11"/>
        <v>8066</v>
      </c>
      <c r="IH29" s="37">
        <f t="shared" si="11"/>
        <v>6739</v>
      </c>
      <c r="II29" s="37">
        <f t="shared" si="11"/>
        <v>7401</v>
      </c>
      <c r="IJ29" s="37">
        <f t="shared" si="11"/>
        <v>6036</v>
      </c>
      <c r="IK29" s="37">
        <f aca="true" t="shared" si="12" ref="IK29:IP29">+SUM(IK25:IK28)</f>
        <v>6554</v>
      </c>
      <c r="IL29" s="37">
        <f t="shared" si="12"/>
        <v>6625</v>
      </c>
      <c r="IM29" s="37">
        <f t="shared" si="12"/>
        <v>6046</v>
      </c>
      <c r="IN29" s="37">
        <f t="shared" si="12"/>
        <v>6142</v>
      </c>
      <c r="IO29" s="37">
        <f t="shared" si="12"/>
        <v>6309</v>
      </c>
      <c r="IP29" s="37">
        <f t="shared" si="12"/>
        <v>5659</v>
      </c>
      <c r="IQ29" s="37">
        <f>+SUM(IQ25:IQ28)</f>
        <v>6190</v>
      </c>
      <c r="IR29" s="37">
        <f>+SUM(IR25:IR28)</f>
        <v>6213</v>
      </c>
      <c r="IS29" s="37">
        <f t="shared" si="0"/>
        <v>23</v>
      </c>
      <c r="IT29" s="1"/>
      <c r="IU29" s="1"/>
      <c r="IV29" s="1"/>
    </row>
    <row r="30" spans="1:256" s="5" customFormat="1" ht="15.75" customHeight="1" hidden="1" thickBot="1" thickTop="1">
      <c r="A30" s="77" t="s">
        <v>69</v>
      </c>
      <c r="B30" s="81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17"/>
      <c r="IB30" s="17"/>
      <c r="IF30" s="17"/>
      <c r="IG30" s="17"/>
      <c r="IH30" s="17"/>
      <c r="II30" s="17">
        <f>+IF30-IE30</f>
        <v>0</v>
      </c>
      <c r="IJ30" s="17">
        <f aca="true" t="shared" si="13" ref="IJ30:IO30">+IG30-IF30</f>
        <v>0</v>
      </c>
      <c r="IK30" s="17">
        <f t="shared" si="13"/>
        <v>0</v>
      </c>
      <c r="IL30" s="17">
        <f t="shared" si="13"/>
        <v>0</v>
      </c>
      <c r="IM30" s="17">
        <f t="shared" si="13"/>
        <v>0</v>
      </c>
      <c r="IN30" s="17">
        <f t="shared" si="13"/>
        <v>0</v>
      </c>
      <c r="IO30" s="17">
        <f t="shared" si="13"/>
        <v>0</v>
      </c>
      <c r="IP30" s="17">
        <f>+IM30-IL30</f>
        <v>0</v>
      </c>
      <c r="IQ30" s="17">
        <f>+IN30-IM30</f>
        <v>0</v>
      </c>
      <c r="IR30" s="17"/>
      <c r="IS30" s="17">
        <f t="shared" si="0"/>
        <v>0</v>
      </c>
      <c r="IT30" s="1"/>
      <c r="IU30" s="1"/>
      <c r="IV30" s="1"/>
    </row>
    <row r="31" spans="1:256" s="5" customFormat="1" ht="15.75" customHeight="1" thickBot="1" thickTop="1">
      <c r="A31" s="77"/>
      <c r="B31" s="81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1955.357142857143</v>
      </c>
      <c r="GZ31" s="17">
        <v>4239.741935483871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75">
        <v>5648</v>
      </c>
      <c r="HY31" s="75">
        <v>10838</v>
      </c>
      <c r="HZ31" s="75">
        <f>313077/31</f>
        <v>10099.258064516129</v>
      </c>
      <c r="IA31" s="75">
        <v>7102</v>
      </c>
      <c r="IB31" s="75">
        <f>35351/31</f>
        <v>1140.3548387096773</v>
      </c>
      <c r="IC31" s="75">
        <f>256881/31</f>
        <v>8286.483870967742</v>
      </c>
      <c r="ID31" s="75">
        <f>257608/30</f>
        <v>8586.933333333332</v>
      </c>
      <c r="IE31" s="75">
        <f>312614/31</f>
        <v>10084.322580645161</v>
      </c>
      <c r="IF31" s="75">
        <f>279164/30</f>
        <v>9305.466666666667</v>
      </c>
      <c r="IG31" s="17">
        <v>9387</v>
      </c>
      <c r="IH31" s="17">
        <v>8595</v>
      </c>
      <c r="II31" s="17">
        <v>7210</v>
      </c>
      <c r="IJ31" s="17">
        <v>0</v>
      </c>
      <c r="IK31" s="17">
        <v>0</v>
      </c>
      <c r="IL31" s="17">
        <v>0</v>
      </c>
      <c r="IM31" s="17">
        <v>0</v>
      </c>
      <c r="IN31" s="17">
        <v>0</v>
      </c>
      <c r="IO31" s="17">
        <v>0</v>
      </c>
      <c r="IP31" s="17">
        <v>0</v>
      </c>
      <c r="IQ31" s="17">
        <v>0</v>
      </c>
      <c r="IR31" s="17">
        <v>0</v>
      </c>
      <c r="IS31" s="17">
        <f t="shared" si="0"/>
        <v>0</v>
      </c>
      <c r="IT31" s="1"/>
      <c r="IU31" s="1"/>
      <c r="IV31" s="1"/>
    </row>
    <row r="32" spans="1:256" s="5" customFormat="1" ht="15.75" customHeight="1" thickBot="1" thickTop="1">
      <c r="A32" s="77"/>
      <c r="B32" s="81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</v>
      </c>
      <c r="GQ32" s="17">
        <v>4673.333333333333</v>
      </c>
      <c r="GR32" s="17">
        <v>6118.709677419355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</v>
      </c>
      <c r="GX32" s="17">
        <v>5753.225806451613</v>
      </c>
      <c r="GY32" s="17">
        <v>6533.214285714285</v>
      </c>
      <c r="GZ32" s="17">
        <v>6032.354838709677</v>
      </c>
      <c r="HA32" s="17">
        <v>6181.533333333334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75">
        <v>6867</v>
      </c>
      <c r="HY32" s="75">
        <v>4484</v>
      </c>
      <c r="HZ32" s="75">
        <f>168000/31</f>
        <v>5419.354838709677</v>
      </c>
      <c r="IA32" s="75">
        <v>445</v>
      </c>
      <c r="IB32" s="75">
        <f>71580/31</f>
        <v>2309.032258064516</v>
      </c>
      <c r="IC32" s="75">
        <f>165606/31</f>
        <v>5342.129032258064</v>
      </c>
      <c r="ID32" s="75">
        <f>169662/30</f>
        <v>5655.4</v>
      </c>
      <c r="IE32" s="75">
        <f>78726/31</f>
        <v>2539.548387096774</v>
      </c>
      <c r="IF32" s="75">
        <f>200214/30</f>
        <v>6673.8</v>
      </c>
      <c r="IG32" s="17">
        <v>4552</v>
      </c>
      <c r="IH32" s="17">
        <v>4647</v>
      </c>
      <c r="II32" s="17">
        <v>7340</v>
      </c>
      <c r="IJ32" s="17">
        <v>4824</v>
      </c>
      <c r="IK32" s="17">
        <v>2915</v>
      </c>
      <c r="IL32" s="17">
        <v>0</v>
      </c>
      <c r="IM32" s="17">
        <v>0</v>
      </c>
      <c r="IN32" s="17">
        <v>0</v>
      </c>
      <c r="IO32" s="17">
        <v>0</v>
      </c>
      <c r="IP32" s="17">
        <v>0</v>
      </c>
      <c r="IQ32" s="17">
        <v>0</v>
      </c>
      <c r="IR32" s="17">
        <v>0</v>
      </c>
      <c r="IS32" s="17">
        <f t="shared" si="0"/>
        <v>0</v>
      </c>
      <c r="IT32" s="1"/>
      <c r="IU32" s="1"/>
      <c r="IV32" s="1"/>
    </row>
    <row r="33" spans="1:256" s="5" customFormat="1" ht="19.5" customHeight="1" hidden="1" thickBot="1" thickTop="1">
      <c r="A33" s="77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</v>
      </c>
      <c r="GT33" s="17">
        <v>52.666666666666664</v>
      </c>
      <c r="GU33" s="17">
        <v>79.09677419354838</v>
      </c>
      <c r="GV33" s="17">
        <v>63.96666666666667</v>
      </c>
      <c r="GW33" s="17">
        <v>32.774193548387096</v>
      </c>
      <c r="GX33" s="17">
        <v>65.51612903225806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75">
        <v>0</v>
      </c>
      <c r="HY33" s="75">
        <v>0</v>
      </c>
      <c r="HZ33" s="75">
        <v>0</v>
      </c>
      <c r="IA33" s="75">
        <v>0</v>
      </c>
      <c r="IB33" s="75">
        <v>0</v>
      </c>
      <c r="IC33" s="75">
        <v>0</v>
      </c>
      <c r="ID33" s="75">
        <v>0</v>
      </c>
      <c r="IE33" s="75"/>
      <c r="IF33" s="75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>
        <f t="shared" si="0"/>
        <v>0</v>
      </c>
      <c r="IT33" s="1"/>
      <c r="IU33" s="1"/>
      <c r="IV33" s="1"/>
    </row>
    <row r="34" spans="1:256" s="5" customFormat="1" ht="19.5" customHeight="1" hidden="1" thickBot="1" thickTop="1">
      <c r="A34" s="78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50.45161290322581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</v>
      </c>
      <c r="GW34" s="17">
        <v>41.645161290322584</v>
      </c>
      <c r="GX34" s="17">
        <v>0</v>
      </c>
      <c r="GY34" s="17">
        <v>47.42857142857143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75">
        <v>0</v>
      </c>
      <c r="HY34" s="75">
        <v>0</v>
      </c>
      <c r="HZ34" s="75">
        <v>0</v>
      </c>
      <c r="IA34" s="75">
        <v>0</v>
      </c>
      <c r="IB34" s="75">
        <v>0</v>
      </c>
      <c r="IC34" s="75">
        <v>0</v>
      </c>
      <c r="ID34" s="75">
        <v>0</v>
      </c>
      <c r="IE34" s="75"/>
      <c r="IF34" s="75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>
        <f t="shared" si="0"/>
        <v>0</v>
      </c>
      <c r="IT34" s="1"/>
      <c r="IU34" s="1"/>
      <c r="IV34" s="1"/>
    </row>
    <row r="35" spans="1:256" s="5" customFormat="1" ht="19.5" customHeight="1" thickBot="1" thickTop="1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75">
        <v>1614</v>
      </c>
      <c r="HY35" s="75">
        <v>1430</v>
      </c>
      <c r="HZ35" s="75">
        <f>38607/31</f>
        <v>1245.3870967741937</v>
      </c>
      <c r="IA35" s="75">
        <v>1126</v>
      </c>
      <c r="IB35" s="75">
        <v>425.1290322580645</v>
      </c>
      <c r="IC35" s="75">
        <f>39858/31</f>
        <v>1285.741935483871</v>
      </c>
      <c r="ID35" s="75">
        <f>64552/30</f>
        <v>2151.733333333333</v>
      </c>
      <c r="IE35" s="75">
        <f>51433/31</f>
        <v>1659.1290322580646</v>
      </c>
      <c r="IF35" s="75">
        <f>67304/30</f>
        <v>2243.4666666666667</v>
      </c>
      <c r="IG35" s="17">
        <v>1831</v>
      </c>
      <c r="IH35" s="17">
        <v>2831</v>
      </c>
      <c r="II35" s="17">
        <v>2488</v>
      </c>
      <c r="IJ35" s="17">
        <v>2800</v>
      </c>
      <c r="IK35" s="17">
        <v>0</v>
      </c>
      <c r="IL35" s="17">
        <v>0</v>
      </c>
      <c r="IM35" s="17">
        <v>0</v>
      </c>
      <c r="IN35" s="17">
        <v>0</v>
      </c>
      <c r="IO35" s="17">
        <v>0</v>
      </c>
      <c r="IP35" s="17">
        <v>0</v>
      </c>
      <c r="IQ35" s="17">
        <v>0</v>
      </c>
      <c r="IR35" s="17">
        <v>0</v>
      </c>
      <c r="IS35" s="17">
        <f t="shared" si="0"/>
        <v>0</v>
      </c>
      <c r="IT35" s="1"/>
      <c r="IU35" s="1"/>
      <c r="IV35" s="1"/>
    </row>
    <row r="36" spans="1:256" s="5" customFormat="1" ht="19.5" customHeight="1" thickBot="1" thickTop="1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2983.866666666667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75">
        <v>3094</v>
      </c>
      <c r="HY36" s="75">
        <v>3008.7</v>
      </c>
      <c r="HZ36" s="75">
        <f>95063/31</f>
        <v>3066.548387096774</v>
      </c>
      <c r="IA36" s="75">
        <v>3063</v>
      </c>
      <c r="IB36" s="75">
        <f>93928/31</f>
        <v>3029.935483870968</v>
      </c>
      <c r="IC36" s="75">
        <f>90998/31</f>
        <v>2935.4193548387098</v>
      </c>
      <c r="ID36" s="75">
        <f>93778/30</f>
        <v>3125.9333333333334</v>
      </c>
      <c r="IE36" s="75">
        <f>92417/31</f>
        <v>2981.1935483870966</v>
      </c>
      <c r="IF36" s="75">
        <f>85419/30</f>
        <v>2847.3</v>
      </c>
      <c r="IG36" s="17">
        <v>2796</v>
      </c>
      <c r="IH36" s="17">
        <v>2686</v>
      </c>
      <c r="II36" s="17">
        <v>2515</v>
      </c>
      <c r="IJ36" s="17">
        <v>2387</v>
      </c>
      <c r="IK36" s="17">
        <v>2299</v>
      </c>
      <c r="IL36" s="17">
        <v>2041</v>
      </c>
      <c r="IM36" s="17">
        <v>2072</v>
      </c>
      <c r="IN36" s="17">
        <v>1973</v>
      </c>
      <c r="IO36" s="17">
        <v>1856</v>
      </c>
      <c r="IP36" s="17">
        <v>1755</v>
      </c>
      <c r="IQ36" s="17">
        <v>1703</v>
      </c>
      <c r="IR36" s="17">
        <v>1649</v>
      </c>
      <c r="IS36" s="17">
        <f t="shared" si="0"/>
        <v>-54</v>
      </c>
      <c r="IT36" s="1"/>
      <c r="IU36" s="1"/>
      <c r="IV36" s="1"/>
    </row>
    <row r="37" spans="1:256" s="5" customFormat="1" ht="19.5" customHeight="1" hidden="1" thickBot="1" thickTop="1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aca="true" t="shared" si="14" ref="HQ37:HT38">+HM37-HL37</f>
        <v>0</v>
      </c>
      <c r="HR37" s="17">
        <f t="shared" si="14"/>
        <v>0</v>
      </c>
      <c r="HS37" s="17">
        <f t="shared" si="14"/>
        <v>0</v>
      </c>
      <c r="HT37" s="17">
        <f t="shared" si="14"/>
        <v>0</v>
      </c>
      <c r="HU37" s="17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>
        <f t="shared" si="0"/>
        <v>0</v>
      </c>
      <c r="IT37" s="1"/>
      <c r="IU37" s="1"/>
      <c r="IV37" s="1"/>
    </row>
    <row r="38" spans="1:256" s="5" customFormat="1" ht="19.5" customHeight="1" hidden="1" thickBot="1" thickTop="1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14"/>
        <v>0</v>
      </c>
      <c r="HR38" s="17">
        <f t="shared" si="14"/>
        <v>0</v>
      </c>
      <c r="HS38" s="17">
        <f t="shared" si="14"/>
        <v>0</v>
      </c>
      <c r="HT38" s="17">
        <f t="shared" si="14"/>
        <v>0</v>
      </c>
      <c r="HU38" s="17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>
        <f t="shared" si="0"/>
        <v>0</v>
      </c>
      <c r="IT38" s="1"/>
      <c r="IU38" s="1"/>
      <c r="IV38" s="1"/>
    </row>
    <row r="39" spans="1:256" s="5" customFormat="1" ht="19.5" customHeight="1" thickBot="1" thickTop="1">
      <c r="A39" s="73"/>
      <c r="B39" s="39"/>
      <c r="C39" s="27" t="s">
        <v>82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75">
        <v>968</v>
      </c>
      <c r="HY39" s="75">
        <v>1711</v>
      </c>
      <c r="HZ39" s="75">
        <f>88291/31</f>
        <v>2848.0967741935483</v>
      </c>
      <c r="IA39" s="75">
        <v>4321</v>
      </c>
      <c r="IB39" s="75">
        <f>136231/31</f>
        <v>4394.548387096775</v>
      </c>
      <c r="IC39" s="75">
        <f>159098/31</f>
        <v>5132.193548387097</v>
      </c>
      <c r="ID39" s="75">
        <f>148440/30</f>
        <v>4948</v>
      </c>
      <c r="IE39" s="75">
        <f>194945/31</f>
        <v>6288.548387096775</v>
      </c>
      <c r="IF39" s="75">
        <f>242034/30</f>
        <v>8067.8</v>
      </c>
      <c r="IG39" s="17">
        <v>8620</v>
      </c>
      <c r="IH39" s="17">
        <v>9491</v>
      </c>
      <c r="II39" s="17">
        <v>9744</v>
      </c>
      <c r="IJ39" s="17">
        <v>10101</v>
      </c>
      <c r="IK39" s="17">
        <v>11400</v>
      </c>
      <c r="IL39" s="17">
        <v>703</v>
      </c>
      <c r="IM39" s="17">
        <v>0</v>
      </c>
      <c r="IN39" s="17">
        <v>4984</v>
      </c>
      <c r="IO39" s="17">
        <v>1772</v>
      </c>
      <c r="IP39" s="17">
        <v>713</v>
      </c>
      <c r="IQ39" s="17">
        <v>9275</v>
      </c>
      <c r="IR39" s="17">
        <v>5190</v>
      </c>
      <c r="IS39" s="17">
        <f t="shared" si="0"/>
        <v>-4085</v>
      </c>
      <c r="IT39" s="1"/>
      <c r="IU39" s="1"/>
      <c r="IV39" s="1"/>
    </row>
    <row r="40" spans="2:256" s="5" customFormat="1" ht="20.25" customHeight="1" thickTop="1">
      <c r="B40" s="44"/>
      <c r="C40" s="97" t="s">
        <v>48</v>
      </c>
      <c r="D40" s="97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</v>
      </c>
      <c r="GR40" s="41">
        <v>9214.870967741936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</v>
      </c>
      <c r="GX40" s="41">
        <v>8655.516129032258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aca="true" t="shared" si="15" ref="HG40:HO40">+SUM(HG31:HG36)</f>
        <v>9929</v>
      </c>
      <c r="HH40" s="41">
        <f t="shared" si="15"/>
        <v>11500</v>
      </c>
      <c r="HI40" s="41">
        <f t="shared" si="15"/>
        <v>15896</v>
      </c>
      <c r="HJ40" s="41">
        <f t="shared" si="15"/>
        <v>18819</v>
      </c>
      <c r="HK40" s="40">
        <f t="shared" si="15"/>
        <v>16963</v>
      </c>
      <c r="HL40" s="40">
        <f t="shared" si="15"/>
        <v>18612</v>
      </c>
      <c r="HM40" s="40">
        <f t="shared" si="15"/>
        <v>19360</v>
      </c>
      <c r="HN40" s="40">
        <f t="shared" si="15"/>
        <v>18682</v>
      </c>
      <c r="HO40" s="40">
        <f t="shared" si="15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aca="true" t="shared" si="16" ref="HS40:HY40">+SUM(HS31:HS39)</f>
        <v>21885</v>
      </c>
      <c r="HT40" s="40">
        <f t="shared" si="16"/>
        <v>17728</v>
      </c>
      <c r="HU40" s="40">
        <f t="shared" si="16"/>
        <v>15774</v>
      </c>
      <c r="HV40" s="40">
        <f t="shared" si="16"/>
        <v>6650</v>
      </c>
      <c r="HW40" s="40">
        <f t="shared" si="16"/>
        <v>12516.400000000001</v>
      </c>
      <c r="HX40" s="40">
        <f t="shared" si="16"/>
        <v>18191</v>
      </c>
      <c r="HY40" s="40">
        <f t="shared" si="16"/>
        <v>21471.7</v>
      </c>
      <c r="HZ40" s="40">
        <f aca="true" t="shared" si="17" ref="HZ40:IE40">+SUM(HZ31:HZ39)</f>
        <v>22678.645161290322</v>
      </c>
      <c r="IA40" s="40">
        <f t="shared" si="17"/>
        <v>16057</v>
      </c>
      <c r="IB40" s="40">
        <f t="shared" si="17"/>
        <v>11299</v>
      </c>
      <c r="IC40" s="40">
        <f t="shared" si="17"/>
        <v>22981.967741935485</v>
      </c>
      <c r="ID40" s="40">
        <f t="shared" si="17"/>
        <v>24468</v>
      </c>
      <c r="IE40" s="40">
        <f t="shared" si="17"/>
        <v>23552.74193548387</v>
      </c>
      <c r="IF40" s="40">
        <f>+SUM(IF31:IF39)</f>
        <v>29137.833333333332</v>
      </c>
      <c r="IG40" s="40">
        <f>+SUM(IG31:IG39)</f>
        <v>27186</v>
      </c>
      <c r="IH40" s="40">
        <f aca="true" t="shared" si="18" ref="IH40:IM40">+SUM(IH31:IH39)</f>
        <v>28250</v>
      </c>
      <c r="II40" s="40">
        <f t="shared" si="18"/>
        <v>29297</v>
      </c>
      <c r="IJ40" s="40">
        <f t="shared" si="18"/>
        <v>20112</v>
      </c>
      <c r="IK40" s="40">
        <f t="shared" si="18"/>
        <v>16614</v>
      </c>
      <c r="IL40" s="40">
        <f t="shared" si="18"/>
        <v>2744</v>
      </c>
      <c r="IM40" s="40">
        <f t="shared" si="18"/>
        <v>2072</v>
      </c>
      <c r="IN40" s="40">
        <f>+SUM(IN31:IN39)</f>
        <v>6957</v>
      </c>
      <c r="IO40" s="40">
        <f>+SUM(IO31:IO39)</f>
        <v>3628</v>
      </c>
      <c r="IP40" s="40">
        <f>+SUM(IP31:IP39)</f>
        <v>2468</v>
      </c>
      <c r="IQ40" s="40">
        <f>+SUM(IQ31:IQ39)</f>
        <v>10978</v>
      </c>
      <c r="IR40" s="40">
        <f>+SUM(IR31:IR39)</f>
        <v>6839</v>
      </c>
      <c r="IS40" s="40">
        <f t="shared" si="0"/>
        <v>-4139</v>
      </c>
      <c r="IT40" s="1"/>
      <c r="IU40" s="1"/>
      <c r="IV40" s="1"/>
    </row>
    <row r="41" spans="2:253" s="46" customFormat="1" ht="20.25" customHeight="1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</row>
    <row r="42" spans="2:256" s="5" customFormat="1" ht="41.25" customHeight="1" thickBot="1">
      <c r="B42" s="45"/>
      <c r="C42" s="87" t="s">
        <v>78</v>
      </c>
      <c r="D42" s="87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</v>
      </c>
      <c r="GQ42" s="70">
        <v>36879.13333333334</v>
      </c>
      <c r="GR42" s="70">
        <v>42342.77419354838</v>
      </c>
      <c r="GS42" s="70">
        <v>41318.967741935485</v>
      </c>
      <c r="GT42" s="70">
        <v>34664.166666666664</v>
      </c>
      <c r="GU42" s="70">
        <v>35151.06451612902</v>
      </c>
      <c r="GV42" s="70">
        <v>35152.433333333334</v>
      </c>
      <c r="GW42" s="70">
        <v>38288.64516129032</v>
      </c>
      <c r="GX42" s="70">
        <v>39058.903225806454</v>
      </c>
      <c r="GY42" s="70">
        <v>40679.71428571428</v>
      </c>
      <c r="GZ42" s="70">
        <v>42807.64516129032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aca="true" t="shared" si="19" ref="HG42:HO42">+HG24+HG29+HG40</f>
        <v>40739</v>
      </c>
      <c r="HH42" s="70">
        <f t="shared" si="19"/>
        <v>43382</v>
      </c>
      <c r="HI42" s="70">
        <f t="shared" si="19"/>
        <v>48196</v>
      </c>
      <c r="HJ42" s="70">
        <f t="shared" si="19"/>
        <v>48673</v>
      </c>
      <c r="HK42" s="70">
        <f t="shared" si="19"/>
        <v>50265</v>
      </c>
      <c r="HL42" s="70">
        <f t="shared" si="19"/>
        <v>51978</v>
      </c>
      <c r="HM42" s="70">
        <f t="shared" si="19"/>
        <v>49965</v>
      </c>
      <c r="HN42" s="70">
        <f t="shared" si="19"/>
        <v>52201</v>
      </c>
      <c r="HO42" s="70">
        <f t="shared" si="19"/>
        <v>41598</v>
      </c>
      <c r="HP42" s="70">
        <f aca="true" t="shared" si="20" ref="HP42:HU42">+HP24+HP29+HP40</f>
        <v>42109</v>
      </c>
      <c r="HQ42" s="70">
        <f t="shared" si="20"/>
        <v>43682</v>
      </c>
      <c r="HR42" s="70">
        <f t="shared" si="20"/>
        <v>51116</v>
      </c>
      <c r="HS42" s="70">
        <f t="shared" si="20"/>
        <v>55949</v>
      </c>
      <c r="HT42" s="70">
        <f t="shared" si="20"/>
        <v>48511</v>
      </c>
      <c r="HU42" s="70">
        <f t="shared" si="20"/>
        <v>48342</v>
      </c>
      <c r="HV42" s="70">
        <f>+HV24+HV29+HV40</f>
        <v>37951</v>
      </c>
      <c r="HW42" s="70">
        <f>+HW24+HW29+HW40</f>
        <v>47123.5</v>
      </c>
      <c r="HX42" s="70">
        <f>+HX24+HX29+HX40</f>
        <v>51355</v>
      </c>
      <c r="HY42" s="70">
        <f>+HY24+HY29+HY40</f>
        <v>53767.42</v>
      </c>
      <c r="HZ42" s="70">
        <f>+HZ24+HZ29+HZ40</f>
        <v>56575.06451612903</v>
      </c>
      <c r="IA42" s="70">
        <f>+IA24+IA29+IA40-1</f>
        <v>49988</v>
      </c>
      <c r="IB42" s="70">
        <f aca="true" t="shared" si="21" ref="IB42:IH42">+IB24+IB29+IB40</f>
        <v>43916.64516129032</v>
      </c>
      <c r="IC42" s="70">
        <f t="shared" si="21"/>
        <v>56370.35483870968</v>
      </c>
      <c r="ID42" s="70">
        <f t="shared" si="21"/>
        <v>59151.3</v>
      </c>
      <c r="IE42" s="70">
        <f t="shared" si="21"/>
        <v>56044.16129032258</v>
      </c>
      <c r="IF42" s="70">
        <f t="shared" si="21"/>
        <v>63738.3</v>
      </c>
      <c r="IG42" s="70">
        <f t="shared" si="21"/>
        <v>59732</v>
      </c>
      <c r="IH42" s="70">
        <f t="shared" si="21"/>
        <v>59804</v>
      </c>
      <c r="II42" s="70">
        <f>+II24+II29+II40-1</f>
        <v>61159</v>
      </c>
      <c r="IJ42" s="70">
        <f>+IJ24+IJ29+IJ40+2</f>
        <v>50534</v>
      </c>
      <c r="IK42" s="70">
        <f>+IK24+IK29+IK40</f>
        <v>45801</v>
      </c>
      <c r="IL42" s="70">
        <f>+IL24+IL29+IL40+1</f>
        <v>31547</v>
      </c>
      <c r="IM42" s="70">
        <f>+IM24+IM29+IM40</f>
        <v>29940</v>
      </c>
      <c r="IN42" s="70">
        <f>+IN24+IN29+IN40</f>
        <v>34731</v>
      </c>
      <c r="IO42" s="70">
        <f>+IO24+IO29+IO40-1</f>
        <v>31214</v>
      </c>
      <c r="IP42" s="70">
        <f>+IP24+IP29+IP40+1</f>
        <v>29165</v>
      </c>
      <c r="IQ42" s="70">
        <f>+IQ24+IQ29+IQ40-1</f>
        <v>37851</v>
      </c>
      <c r="IR42" s="70">
        <f>+IR24+IR29+IR40-1</f>
        <v>33484</v>
      </c>
      <c r="IS42" s="70">
        <f t="shared" si="0"/>
        <v>-4367</v>
      </c>
      <c r="IT42" s="1"/>
      <c r="IU42" s="1"/>
      <c r="IV42" s="1"/>
    </row>
    <row r="43" spans="49:243" ht="18" customHeight="1" thickTop="1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  <c r="HX43" s="3"/>
      <c r="II43" s="3"/>
    </row>
    <row r="44" spans="230:247" ht="12.75">
      <c r="HV44" s="3"/>
      <c r="IM44" s="3"/>
    </row>
    <row r="45" spans="231:251" ht="12.75">
      <c r="HW45" s="3"/>
      <c r="ID45" s="3"/>
      <c r="IL45" s="3"/>
      <c r="IQ45" s="3"/>
    </row>
    <row r="47" spans="224:230" ht="12.75">
      <c r="HP47" s="71"/>
      <c r="HV47" s="74"/>
    </row>
    <row r="57" ht="12.75">
      <c r="C57" s="10"/>
    </row>
    <row r="59" spans="4:58" ht="12.75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ht="12.75">
      <c r="AC60" s="13"/>
    </row>
    <row r="67" spans="65:223" ht="12.75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/>
    <row r="91" ht="14.25" customHeight="1"/>
  </sheetData>
  <sheetProtection/>
  <mergeCells count="54">
    <mergeCell ref="A7:IR7"/>
    <mergeCell ref="A6:IR6"/>
    <mergeCell ref="A5:IR5"/>
    <mergeCell ref="HJ9:HU9"/>
    <mergeCell ref="DI9:DT9"/>
    <mergeCell ref="CK9:CV9"/>
    <mergeCell ref="FB9:FM9"/>
    <mergeCell ref="FN9:FY9"/>
    <mergeCell ref="AG9:AR9"/>
    <mergeCell ref="A4:HP4"/>
    <mergeCell ref="CA9:CJ9"/>
    <mergeCell ref="BE9:BN9"/>
    <mergeCell ref="E9:L9"/>
    <mergeCell ref="N9:T9"/>
    <mergeCell ref="GV9:GW9"/>
    <mergeCell ref="DU9:EF9"/>
    <mergeCell ref="AS9:BD9"/>
    <mergeCell ref="CW9:DH9"/>
    <mergeCell ref="GX9:HI9"/>
    <mergeCell ref="A30:A32"/>
    <mergeCell ref="B25:B27"/>
    <mergeCell ref="C24:D24"/>
    <mergeCell ref="Z16:Z17"/>
    <mergeCell ref="AA16:AA17"/>
    <mergeCell ref="T16:T17"/>
    <mergeCell ref="V16:V17"/>
    <mergeCell ref="A25:A28"/>
    <mergeCell ref="Y16:Y17"/>
    <mergeCell ref="S16:S17"/>
    <mergeCell ref="AB16:AB17"/>
    <mergeCell ref="Q16:Q17"/>
    <mergeCell ref="U16:U17"/>
    <mergeCell ref="AD16:AD17"/>
    <mergeCell ref="A11:A23"/>
    <mergeCell ref="C42:D42"/>
    <mergeCell ref="W16:W17"/>
    <mergeCell ref="X16:X17"/>
    <mergeCell ref="AC16:AC17"/>
    <mergeCell ref="HV9:IG9"/>
    <mergeCell ref="FZ9:GK9"/>
    <mergeCell ref="BO9:BZ9"/>
    <mergeCell ref="EP9:FA9"/>
    <mergeCell ref="AB9:AF9"/>
    <mergeCell ref="C40:D40"/>
    <mergeCell ref="IH9:IR9"/>
    <mergeCell ref="A33:A34"/>
    <mergeCell ref="B11:B23"/>
    <mergeCell ref="B30:B32"/>
    <mergeCell ref="C29:D29"/>
    <mergeCell ref="P16:P17"/>
    <mergeCell ref="EM9:EO9"/>
    <mergeCell ref="C9:D9"/>
    <mergeCell ref="R16:R17"/>
    <mergeCell ref="O16:O17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4" r:id="rId4"/>
  <headerFooter alignWithMargins="0">
    <oddFooter>&amp;L&amp;"Arial,Cursiva"Fuente: Perupetro S.A.</oddFooter>
  </headerFooter>
  <rowBreaks count="1" manualBreakCount="1">
    <brk id="19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TEMP_DGH117</cp:lastModifiedBy>
  <cp:lastPrinted>2020-09-15T17:23:06Z</cp:lastPrinted>
  <dcterms:created xsi:type="dcterms:W3CDTF">1997-07-01T22:48:52Z</dcterms:created>
  <dcterms:modified xsi:type="dcterms:W3CDTF">2020-12-07T22:04:24Z</dcterms:modified>
  <cp:category/>
  <cp:version/>
  <cp:contentType/>
  <cp:contentStatus/>
</cp:coreProperties>
</file>